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anv\Downloads\"/>
    </mc:Choice>
  </mc:AlternateContent>
  <xr:revisionPtr revIDLastSave="0" documentId="8_{E1CE432E-AE19-4BEA-8259-80BDE93771C3}" xr6:coauthVersionLast="47" xr6:coauthVersionMax="47" xr10:uidLastSave="{00000000-0000-0000-0000-000000000000}"/>
  <workbookProtection workbookPassword="CF52" lockStructure="1"/>
  <bookViews>
    <workbookView xWindow="-120" yWindow="-120" windowWidth="29040" windowHeight="15840"/>
  </bookViews>
  <sheets>
    <sheet name="PILE-99" sheetId="1" r:id="rId1"/>
    <sheet name="Bangtra" sheetId="2" r:id="rId2"/>
  </sheets>
  <definedNames>
    <definedName name="_xlnm.Print_Area" localSheetId="0">'PILE-99'!$A$1:$L$134,'PILE-99'!$M$1:$AC$45</definedName>
    <definedName name="Z_0294C485_EED7_4AA6_A8B2_4AE3C1ADF5F4_.wvu.Cols" localSheetId="0" hidden="1">'PILE-99'!$IJ:$IT</definedName>
    <definedName name="Z_0294C485_EED7_4AA6_A8B2_4AE3C1ADF5F4_.wvu.PrintArea" localSheetId="0" hidden="1">'PILE-99'!$A$1:$L$134,'PILE-99'!$M$1:$AC$45</definedName>
    <definedName name="Z_6FCC20C4_4A54_4973_8359_C6D8908D37C8_.wvu.Cols" localSheetId="0" hidden="1">'PILE-99'!$IJ:$IT</definedName>
    <definedName name="Z_6FCC20C4_4A54_4973_8359_C6D8908D37C8_.wvu.PrintArea" localSheetId="0" hidden="1">'PILE-99'!$A$1:$L$134,'PILE-99'!$M$1:$AC$45</definedName>
  </definedNames>
  <calcPr calcId="191029" fullCalcOnLoad="1"/>
  <customWorkbookViews>
    <customWorkbookView name="Hoctoan123.com - Personal View" guid="{0294C485-EED7-4AA6-A8B2-4AE3C1ADF5F4}" mergeInterval="0" personalView="1" maximized="1" xWindow="-8" yWindow="-8" windowWidth="1936" windowHeight="1056" activeSheetId="1"/>
    <customWorkbookView name="MAI DUC THANG - Personal View" guid="{6FCC20C4-4A54-4973-8359-C6D8908D37C8}" mergeInterval="0" personalView="1" maximized="1" xWindow="-8" yWindow="-8" windowWidth="1382" windowHeight="744" activeSheetId="1" showFormulaBar="0"/>
  </customWorkbookViews>
</workbook>
</file>

<file path=xl/calcChain.xml><?xml version="1.0" encoding="utf-8"?>
<calcChain xmlns="http://schemas.openxmlformats.org/spreadsheetml/2006/main">
  <c r="Y10" i="2" l="1"/>
  <c r="AA10" i="2" s="1"/>
  <c r="B11" i="2"/>
  <c r="C11" i="2"/>
  <c r="D11" i="2"/>
  <c r="E11" i="2"/>
  <c r="F11" i="2"/>
  <c r="G11" i="2"/>
  <c r="H11" i="2"/>
  <c r="I11" i="2"/>
  <c r="L11" i="2"/>
  <c r="M11" i="2"/>
  <c r="N11" i="2"/>
  <c r="O11" i="2"/>
  <c r="P11" i="2"/>
  <c r="Q11" i="2"/>
  <c r="R11" i="2"/>
  <c r="S11" i="2"/>
  <c r="T11" i="2"/>
  <c r="U11" i="2"/>
  <c r="Y11" i="2"/>
  <c r="AA11" i="2" s="1"/>
  <c r="Y12" i="2"/>
  <c r="AA12" i="2" s="1"/>
  <c r="B13" i="2"/>
  <c r="C13" i="2"/>
  <c r="D13" i="2"/>
  <c r="E13" i="2"/>
  <c r="F13" i="2"/>
  <c r="G13" i="2"/>
  <c r="H13" i="2"/>
  <c r="I13" i="2"/>
  <c r="L13" i="2"/>
  <c r="M13" i="2"/>
  <c r="N13" i="2"/>
  <c r="O13" i="2"/>
  <c r="P13" i="2"/>
  <c r="Q13" i="2"/>
  <c r="R13" i="2"/>
  <c r="S13" i="2"/>
  <c r="T13" i="2"/>
  <c r="U13" i="2"/>
  <c r="Y13" i="2"/>
  <c r="AB13" i="2" s="1"/>
  <c r="Y14" i="2"/>
  <c r="AA14" i="2" s="1"/>
  <c r="B15" i="2"/>
  <c r="C15" i="2" s="1"/>
  <c r="D15" i="2" s="1"/>
  <c r="E15" i="2" s="1"/>
  <c r="F15" i="2" s="1"/>
  <c r="G15" i="2" s="1"/>
  <c r="H15" i="2" s="1"/>
  <c r="I15" i="2" s="1"/>
  <c r="L15" i="2"/>
  <c r="M15" i="2"/>
  <c r="N15" i="2"/>
  <c r="O15" i="2"/>
  <c r="P15" i="2"/>
  <c r="Q15" i="2"/>
  <c r="R15" i="2"/>
  <c r="S15" i="2"/>
  <c r="T15" i="2"/>
  <c r="U15" i="2"/>
  <c r="Y15" i="2"/>
  <c r="AA15" i="2" s="1"/>
  <c r="C16" i="2"/>
  <c r="D16" i="2" s="1"/>
  <c r="E16" i="2" s="1"/>
  <c r="F16" i="2" s="1"/>
  <c r="G16" i="2" s="1"/>
  <c r="H16" i="2" s="1"/>
  <c r="I16" i="2" s="1"/>
  <c r="Y16" i="2"/>
  <c r="AA16" i="2" s="1"/>
  <c r="AB16" i="2"/>
  <c r="AD16" i="2" s="1"/>
  <c r="AC16" i="2"/>
  <c r="B17" i="2"/>
  <c r="C17" i="2" s="1"/>
  <c r="D17" i="2"/>
  <c r="E17" i="2" s="1"/>
  <c r="F17" i="2" s="1"/>
  <c r="G17" i="2" s="1"/>
  <c r="H17" i="2" s="1"/>
  <c r="I17" i="2" s="1"/>
  <c r="L17" i="2"/>
  <c r="M17" i="2"/>
  <c r="N17" i="2"/>
  <c r="O17" i="2"/>
  <c r="P17" i="2"/>
  <c r="Q17" i="2"/>
  <c r="R17" i="2"/>
  <c r="S17" i="2"/>
  <c r="T17" i="2"/>
  <c r="U17" i="2"/>
  <c r="Y17" i="2"/>
  <c r="AA17" i="2"/>
  <c r="AB17" i="2"/>
  <c r="Y18" i="2"/>
  <c r="AB18" i="2" s="1"/>
  <c r="B19" i="2"/>
  <c r="C19" i="2"/>
  <c r="D19" i="2" s="1"/>
  <c r="E19" i="2" s="1"/>
  <c r="F19" i="2" s="1"/>
  <c r="G19" i="2" s="1"/>
  <c r="H19" i="2" s="1"/>
  <c r="I19" i="2" s="1"/>
  <c r="L19" i="2"/>
  <c r="M19" i="2"/>
  <c r="N19" i="2"/>
  <c r="O19" i="2"/>
  <c r="P19" i="2"/>
  <c r="Q19" i="2"/>
  <c r="R19" i="2"/>
  <c r="S19" i="2"/>
  <c r="T19" i="2"/>
  <c r="U19" i="2"/>
  <c r="Y19" i="2"/>
  <c r="C20" i="2"/>
  <c r="D20" i="2" s="1"/>
  <c r="E20" i="2" s="1"/>
  <c r="F20" i="2" s="1"/>
  <c r="G20" i="2" s="1"/>
  <c r="H20" i="2" s="1"/>
  <c r="I20" i="2" s="1"/>
  <c r="Y20" i="2"/>
  <c r="AA20" i="2" s="1"/>
  <c r="B21" i="2"/>
  <c r="C21" i="2" s="1"/>
  <c r="D21" i="2" s="1"/>
  <c r="E21" i="2" s="1"/>
  <c r="F21" i="2"/>
  <c r="G21" i="2" s="1"/>
  <c r="H21" i="2" s="1"/>
  <c r="I21" i="2" s="1"/>
  <c r="M21" i="2"/>
  <c r="N21" i="2" s="1"/>
  <c r="O21" i="2" s="1"/>
  <c r="P21" i="2" s="1"/>
  <c r="Q21" i="2" s="1"/>
  <c r="R21" i="2" s="1"/>
  <c r="Y21" i="2"/>
  <c r="C22" i="2"/>
  <c r="D22" i="2" s="1"/>
  <c r="E22" i="2" s="1"/>
  <c r="F22" i="2" s="1"/>
  <c r="G22" i="2" s="1"/>
  <c r="H22" i="2" s="1"/>
  <c r="I22" i="2" s="1"/>
  <c r="L22" i="2"/>
  <c r="L21" i="2" s="1"/>
  <c r="M22" i="2"/>
  <c r="N22" i="2" s="1"/>
  <c r="O22" i="2" s="1"/>
  <c r="P22" i="2" s="1"/>
  <c r="Q22" i="2"/>
  <c r="R22" i="2" s="1"/>
  <c r="B23" i="2"/>
  <c r="C23" i="2" s="1"/>
  <c r="D23" i="2" s="1"/>
  <c r="E23" i="2"/>
  <c r="F23" i="2" s="1"/>
  <c r="G23" i="2" s="1"/>
  <c r="H23" i="2"/>
  <c r="I23" i="2" s="1"/>
  <c r="B25" i="2"/>
  <c r="C25" i="2" s="1"/>
  <c r="D25" i="2" s="1"/>
  <c r="E25" i="2" s="1"/>
  <c r="F25" i="2" s="1"/>
  <c r="G25" i="2" s="1"/>
  <c r="H25" i="2" s="1"/>
  <c r="I25" i="2" s="1"/>
  <c r="P25" i="2"/>
  <c r="Q25" i="2" s="1"/>
  <c r="Y25" i="2"/>
  <c r="C26" i="2"/>
  <c r="D26" i="2" s="1"/>
  <c r="E26" i="2" s="1"/>
  <c r="F26" i="2"/>
  <c r="G26" i="2" s="1"/>
  <c r="H26" i="2" s="1"/>
  <c r="I26" i="2"/>
  <c r="L26" i="2"/>
  <c r="L25" i="2" s="1"/>
  <c r="M25" i="2" s="1"/>
  <c r="N25" i="2" s="1"/>
  <c r="O25" i="2" s="1"/>
  <c r="M26" i="2"/>
  <c r="N26" i="2"/>
  <c r="O26" i="2"/>
  <c r="P26" i="2" s="1"/>
  <c r="Q26" i="2" s="1"/>
  <c r="B27" i="2"/>
  <c r="C27" i="2"/>
  <c r="D27" i="2"/>
  <c r="E27" i="2" s="1"/>
  <c r="F27" i="2" s="1"/>
  <c r="G27" i="2"/>
  <c r="H27" i="2" s="1"/>
  <c r="I27" i="2" s="1"/>
  <c r="L27" i="2"/>
  <c r="M27" i="2"/>
  <c r="N27" i="2" s="1"/>
  <c r="O27" i="2"/>
  <c r="P27" i="2" s="1"/>
  <c r="Q27" i="2" s="1"/>
  <c r="C28" i="2"/>
  <c r="D28" i="2" s="1"/>
  <c r="E28" i="2" s="1"/>
  <c r="F28" i="2" s="1"/>
  <c r="G28" i="2" s="1"/>
  <c r="H28" i="2" s="1"/>
  <c r="I28" i="2" s="1"/>
  <c r="B29" i="2"/>
  <c r="C29" i="2" s="1"/>
  <c r="D29" i="2" s="1"/>
  <c r="E29" i="2" s="1"/>
  <c r="F29" i="2" s="1"/>
  <c r="G29" i="2" s="1"/>
  <c r="H29" i="2" s="1"/>
  <c r="I29" i="2" s="1"/>
  <c r="L29" i="2"/>
  <c r="M29" i="2" s="1"/>
  <c r="N29" i="2" s="1"/>
  <c r="O29" i="2" s="1"/>
  <c r="P29" i="2"/>
  <c r="Q29" i="2" s="1"/>
  <c r="R29" i="2" s="1"/>
  <c r="S29" i="2" s="1"/>
  <c r="C30" i="2"/>
  <c r="D30" i="2"/>
  <c r="E30" i="2"/>
  <c r="F30" i="2" s="1"/>
  <c r="G30" i="2" s="1"/>
  <c r="H30" i="2" s="1"/>
  <c r="I30" i="2" s="1"/>
  <c r="M30" i="2"/>
  <c r="N30" i="2"/>
  <c r="O30" i="2" s="1"/>
  <c r="P30" i="2" s="1"/>
  <c r="Q30" i="2" s="1"/>
  <c r="R30" i="2" s="1"/>
  <c r="S30" i="2" s="1"/>
  <c r="B31" i="2"/>
  <c r="C31" i="2" s="1"/>
  <c r="D31" i="2" s="1"/>
  <c r="E31" i="2" s="1"/>
  <c r="F31" i="2" s="1"/>
  <c r="G31" i="2" s="1"/>
  <c r="H31" i="2" s="1"/>
  <c r="I31" i="2" s="1"/>
  <c r="L31" i="2"/>
  <c r="M31" i="2" s="1"/>
  <c r="N31" i="2" s="1"/>
  <c r="O31" i="2" s="1"/>
  <c r="P31" i="2" s="1"/>
  <c r="Q31" i="2" s="1"/>
  <c r="R31" i="2" s="1"/>
  <c r="S31" i="2" s="1"/>
  <c r="C32" i="2"/>
  <c r="D32" i="2"/>
  <c r="E32" i="2" s="1"/>
  <c r="F32" i="2" s="1"/>
  <c r="G32" i="2" s="1"/>
  <c r="H32" i="2" s="1"/>
  <c r="I32" i="2" s="1"/>
  <c r="M32" i="2"/>
  <c r="N32" i="2" s="1"/>
  <c r="O32" i="2" s="1"/>
  <c r="P32" i="2"/>
  <c r="Q32" i="2" s="1"/>
  <c r="R32" i="2" s="1"/>
  <c r="S32" i="2"/>
  <c r="B33" i="2"/>
  <c r="C33" i="2" s="1"/>
  <c r="D33" i="2" s="1"/>
  <c r="E33" i="2" s="1"/>
  <c r="F33" i="2" s="1"/>
  <c r="G33" i="2"/>
  <c r="H33" i="2" s="1"/>
  <c r="I33" i="2" s="1"/>
  <c r="L33" i="2"/>
  <c r="M33" i="2" s="1"/>
  <c r="N33" i="2" s="1"/>
  <c r="O33" i="2"/>
  <c r="P33" i="2"/>
  <c r="Q33" i="2" s="1"/>
  <c r="R33" i="2" s="1"/>
  <c r="S33" i="2" s="1"/>
  <c r="M34" i="2"/>
  <c r="N34" i="2"/>
  <c r="O34" i="2"/>
  <c r="P34" i="2" s="1"/>
  <c r="Q34" i="2" s="1"/>
  <c r="R34" i="2" s="1"/>
  <c r="S34" i="2" s="1"/>
  <c r="B35" i="2"/>
  <c r="C35" i="2" s="1"/>
  <c r="D35" i="2" s="1"/>
  <c r="E35" i="2"/>
  <c r="F35" i="2" s="1"/>
  <c r="G35" i="2" s="1"/>
  <c r="H35" i="2" s="1"/>
  <c r="I35" i="2"/>
  <c r="L35" i="2"/>
  <c r="M35" i="2"/>
  <c r="N35" i="2" s="1"/>
  <c r="O35" i="2" s="1"/>
  <c r="P35" i="2" s="1"/>
  <c r="Q35" i="2" s="1"/>
  <c r="R35" i="2" s="1"/>
  <c r="S35" i="2" s="1"/>
  <c r="C36" i="2"/>
  <c r="D36" i="2"/>
  <c r="E36" i="2"/>
  <c r="F36" i="2" s="1"/>
  <c r="G36" i="2" s="1"/>
  <c r="H36" i="2" s="1"/>
  <c r="I36" i="2" s="1"/>
  <c r="M36" i="2"/>
  <c r="N36" i="2"/>
  <c r="O36" i="2"/>
  <c r="P36" i="2" s="1"/>
  <c r="Q36" i="2"/>
  <c r="R36" i="2" s="1"/>
  <c r="S36" i="2" s="1"/>
  <c r="B37" i="2"/>
  <c r="C37" i="2"/>
  <c r="D37" i="2" s="1"/>
  <c r="E37" i="2" s="1"/>
  <c r="F37" i="2" s="1"/>
  <c r="G37" i="2" s="1"/>
  <c r="H37" i="2"/>
  <c r="I37" i="2" s="1"/>
  <c r="L37" i="2"/>
  <c r="M37" i="2"/>
  <c r="N37" i="2" s="1"/>
  <c r="O37" i="2" s="1"/>
  <c r="P37" i="2"/>
  <c r="Q37" i="2" s="1"/>
  <c r="R37" i="2" s="1"/>
  <c r="S37" i="2" s="1"/>
  <c r="C38" i="2"/>
  <c r="D38" i="2"/>
  <c r="E38" i="2"/>
  <c r="F38" i="2"/>
  <c r="G38" i="2" s="1"/>
  <c r="H38" i="2" s="1"/>
  <c r="I38" i="2" s="1"/>
  <c r="B39" i="2"/>
  <c r="C39" i="2"/>
  <c r="D39" i="2"/>
  <c r="E39" i="2" s="1"/>
  <c r="F39" i="2" s="1"/>
  <c r="G39" i="2" s="1"/>
  <c r="H39" i="2" s="1"/>
  <c r="I39" i="2" s="1"/>
  <c r="L39" i="2"/>
  <c r="M39" i="2" s="1"/>
  <c r="N39" i="2"/>
  <c r="O39" i="2" s="1"/>
  <c r="P39" i="2" s="1"/>
  <c r="Q39" i="2"/>
  <c r="C40" i="2"/>
  <c r="D40" i="2" s="1"/>
  <c r="E40" i="2" s="1"/>
  <c r="F40" i="2" s="1"/>
  <c r="G40" i="2" s="1"/>
  <c r="H40" i="2"/>
  <c r="I40" i="2" s="1"/>
  <c r="M40" i="2"/>
  <c r="N40" i="2"/>
  <c r="O40" i="2" s="1"/>
  <c r="P40" i="2" s="1"/>
  <c r="Q40" i="2"/>
  <c r="B41" i="2"/>
  <c r="C41" i="2" s="1"/>
  <c r="D41" i="2"/>
  <c r="E41" i="2" s="1"/>
  <c r="F41" i="2" s="1"/>
  <c r="G41" i="2" s="1"/>
  <c r="H41" i="2"/>
  <c r="I41" i="2" s="1"/>
  <c r="L41" i="2"/>
  <c r="M41" i="2" s="1"/>
  <c r="N41" i="2" s="1"/>
  <c r="O41" i="2"/>
  <c r="P41" i="2" s="1"/>
  <c r="Q41" i="2" s="1"/>
  <c r="C42" i="2"/>
  <c r="D42" i="2" s="1"/>
  <c r="E42" i="2" s="1"/>
  <c r="F42" i="2" s="1"/>
  <c r="G42" i="2" s="1"/>
  <c r="H42" i="2" s="1"/>
  <c r="I42" i="2" s="1"/>
  <c r="M42" i="2"/>
  <c r="N42" i="2"/>
  <c r="O42" i="2"/>
  <c r="P42" i="2" s="1"/>
  <c r="Q42" i="2" s="1"/>
  <c r="B43" i="2"/>
  <c r="C43" i="2" s="1"/>
  <c r="D43" i="2" s="1"/>
  <c r="E43" i="2"/>
  <c r="F43" i="2" s="1"/>
  <c r="G43" i="2" s="1"/>
  <c r="H43" i="2" s="1"/>
  <c r="I43" i="2" s="1"/>
  <c r="L43" i="2"/>
  <c r="M43" i="2"/>
  <c r="N43" i="2"/>
  <c r="O43" i="2" s="1"/>
  <c r="P43" i="2"/>
  <c r="Q43" i="2" s="1"/>
  <c r="M44" i="2"/>
  <c r="N44" i="2"/>
  <c r="O44" i="2"/>
  <c r="P44" i="2" s="1"/>
  <c r="Q44" i="2" s="1"/>
  <c r="B45" i="2"/>
  <c r="C45" i="2"/>
  <c r="D45" i="2"/>
  <c r="E45" i="2" s="1"/>
  <c r="F45" i="2" s="1"/>
  <c r="G45" i="2" s="1"/>
  <c r="H45" i="2" s="1"/>
  <c r="I45" i="2" s="1"/>
  <c r="L45" i="2"/>
  <c r="M45" i="2"/>
  <c r="N45" i="2" s="1"/>
  <c r="O45" i="2" s="1"/>
  <c r="P45" i="2" s="1"/>
  <c r="Q45" i="2" s="1"/>
  <c r="C46" i="2"/>
  <c r="D46" i="2" s="1"/>
  <c r="E46" i="2" s="1"/>
  <c r="F46" i="2"/>
  <c r="G46" i="2" s="1"/>
  <c r="H46" i="2" s="1"/>
  <c r="I46" i="2" s="1"/>
  <c r="M46" i="2"/>
  <c r="N46" i="2" s="1"/>
  <c r="O46" i="2" s="1"/>
  <c r="P46" i="2" s="1"/>
  <c r="Q46" i="2" s="1"/>
  <c r="B47" i="2"/>
  <c r="C47" i="2" s="1"/>
  <c r="D47" i="2" s="1"/>
  <c r="E47" i="2" s="1"/>
  <c r="F47" i="2" s="1"/>
  <c r="G47" i="2" s="1"/>
  <c r="H47" i="2" s="1"/>
  <c r="I47" i="2" s="1"/>
  <c r="L47" i="2"/>
  <c r="M47" i="2"/>
  <c r="N47" i="2" s="1"/>
  <c r="O47" i="2" s="1"/>
  <c r="P47" i="2" s="1"/>
  <c r="Q47" i="2" s="1"/>
  <c r="C48" i="2"/>
  <c r="D48" i="2"/>
  <c r="E48" i="2" s="1"/>
  <c r="F48" i="2" s="1"/>
  <c r="G48" i="2"/>
  <c r="H48" i="2"/>
  <c r="I48" i="2" s="1"/>
  <c r="B49" i="2"/>
  <c r="C49" i="2" s="1"/>
  <c r="D49" i="2" s="1"/>
  <c r="E49" i="2"/>
  <c r="F49" i="2" s="1"/>
  <c r="G49" i="2" s="1"/>
  <c r="H49" i="2"/>
  <c r="I49" i="2" s="1"/>
  <c r="L49" i="2"/>
  <c r="M49" i="2"/>
  <c r="N49" i="2" s="1"/>
  <c r="O49" i="2" s="1"/>
  <c r="P49" i="2"/>
  <c r="Q49" i="2" s="1"/>
  <c r="C50" i="2"/>
  <c r="D50" i="2"/>
  <c r="E50" i="2"/>
  <c r="F50" i="2" s="1"/>
  <c r="G50" i="2" s="1"/>
  <c r="H50" i="2" s="1"/>
  <c r="I50" i="2" s="1"/>
  <c r="M50" i="2"/>
  <c r="N50" i="2"/>
  <c r="O50" i="2" s="1"/>
  <c r="P50" i="2" s="1"/>
  <c r="Q50" i="2" s="1"/>
  <c r="B51" i="2"/>
  <c r="C51" i="2"/>
  <c r="D51" i="2"/>
  <c r="E51" i="2" s="1"/>
  <c r="F51" i="2" s="1"/>
  <c r="G51" i="2" s="1"/>
  <c r="H51" i="2" s="1"/>
  <c r="I51" i="2" s="1"/>
  <c r="L51" i="2"/>
  <c r="M51" i="2" s="1"/>
  <c r="N51" i="2"/>
  <c r="O51" i="2" s="1"/>
  <c r="P51" i="2"/>
  <c r="Q51" i="2" s="1"/>
  <c r="C52" i="2"/>
  <c r="D52" i="2" s="1"/>
  <c r="E52" i="2" s="1"/>
  <c r="F52" i="2" s="1"/>
  <c r="G52" i="2"/>
  <c r="H52" i="2" s="1"/>
  <c r="I52" i="2" s="1"/>
  <c r="M52" i="2"/>
  <c r="N52" i="2"/>
  <c r="O52" i="2" s="1"/>
  <c r="P52" i="2" s="1"/>
  <c r="Q52" i="2" s="1"/>
  <c r="B53" i="2"/>
  <c r="C53" i="2" s="1"/>
  <c r="D53" i="2" s="1"/>
  <c r="E53" i="2" s="1"/>
  <c r="F53" i="2" s="1"/>
  <c r="G53" i="2" s="1"/>
  <c r="H53" i="2" s="1"/>
  <c r="I53" i="2" s="1"/>
  <c r="L53" i="2"/>
  <c r="M53" i="2" s="1"/>
  <c r="N53" i="2" s="1"/>
  <c r="O53" i="2" s="1"/>
  <c r="P53" i="2" s="1"/>
  <c r="Q53" i="2" s="1"/>
  <c r="M54" i="2"/>
  <c r="N54" i="2" s="1"/>
  <c r="O54" i="2" s="1"/>
  <c r="P54" i="2" s="1"/>
  <c r="Q54" i="2" s="1"/>
  <c r="B55" i="2"/>
  <c r="C55" i="2"/>
  <c r="D55" i="2" s="1"/>
  <c r="E55" i="2"/>
  <c r="F55" i="2" s="1"/>
  <c r="G55" i="2"/>
  <c r="H55" i="2" s="1"/>
  <c r="I55" i="2" s="1"/>
  <c r="L55" i="2"/>
  <c r="M55" i="2"/>
  <c r="N55" i="2"/>
  <c r="O55" i="2" s="1"/>
  <c r="P55" i="2" s="1"/>
  <c r="Q55" i="2" s="1"/>
  <c r="C56" i="2"/>
  <c r="D56" i="2"/>
  <c r="E56" i="2" s="1"/>
  <c r="F56" i="2"/>
  <c r="G56" i="2" s="1"/>
  <c r="H56" i="2" s="1"/>
  <c r="I56" i="2"/>
  <c r="M56" i="2"/>
  <c r="N56" i="2" s="1"/>
  <c r="O56" i="2" s="1"/>
  <c r="P56" i="2"/>
  <c r="Q56" i="2" s="1"/>
  <c r="B57" i="2"/>
  <c r="C57" i="2"/>
  <c r="D57" i="2"/>
  <c r="E57" i="2" s="1"/>
  <c r="F57" i="2" s="1"/>
  <c r="G57" i="2" s="1"/>
  <c r="H57" i="2" s="1"/>
  <c r="I57" i="2" s="1"/>
  <c r="L57" i="2"/>
  <c r="M57" i="2" s="1"/>
  <c r="N57" i="2"/>
  <c r="O57" i="2" s="1"/>
  <c r="P57" i="2"/>
  <c r="Q57" i="2"/>
  <c r="C58" i="2"/>
  <c r="D58" i="2" s="1"/>
  <c r="E58" i="2"/>
  <c r="F58" i="2" s="1"/>
  <c r="G58" i="2" s="1"/>
  <c r="H58" i="2" s="1"/>
  <c r="I58" i="2"/>
  <c r="B59" i="2"/>
  <c r="C59" i="2"/>
  <c r="D59" i="2" s="1"/>
  <c r="E59" i="2"/>
  <c r="F59" i="2" s="1"/>
  <c r="G59" i="2" s="1"/>
  <c r="H59" i="2" s="1"/>
  <c r="I59" i="2" s="1"/>
  <c r="L59" i="2"/>
  <c r="M59" i="2"/>
  <c r="N59" i="2"/>
  <c r="O59" i="2" s="1"/>
  <c r="P59" i="2" s="1"/>
  <c r="Q59" i="2" s="1"/>
  <c r="R59" i="2" s="1"/>
  <c r="C60" i="2"/>
  <c r="D60" i="2"/>
  <c r="E60" i="2" s="1"/>
  <c r="F60" i="2" s="1"/>
  <c r="G60" i="2" s="1"/>
  <c r="H60" i="2" s="1"/>
  <c r="I60" i="2" s="1"/>
  <c r="M60" i="2"/>
  <c r="N60" i="2"/>
  <c r="O60" i="2" s="1"/>
  <c r="P60" i="2" s="1"/>
  <c r="Q60" i="2" s="1"/>
  <c r="R60" i="2" s="1"/>
  <c r="B61" i="2"/>
  <c r="C61" i="2" s="1"/>
  <c r="D61" i="2" s="1"/>
  <c r="E61" i="2" s="1"/>
  <c r="F61" i="2" s="1"/>
  <c r="G61" i="2"/>
  <c r="H61" i="2" s="1"/>
  <c r="I61" i="2" s="1"/>
  <c r="L61" i="2"/>
  <c r="M61" i="2"/>
  <c r="N61" i="2" s="1"/>
  <c r="O61" i="2"/>
  <c r="P61" i="2"/>
  <c r="Q61" i="2"/>
  <c r="R61" i="2" s="1"/>
  <c r="C62" i="2"/>
  <c r="D62" i="2" s="1"/>
  <c r="E62" i="2"/>
  <c r="F62" i="2" s="1"/>
  <c r="G62" i="2" s="1"/>
  <c r="H62" i="2" s="1"/>
  <c r="I62" i="2" s="1"/>
  <c r="M62" i="2"/>
  <c r="N62" i="2"/>
  <c r="O62" i="2"/>
  <c r="P62" i="2" s="1"/>
  <c r="Q62" i="2" s="1"/>
  <c r="R62" i="2" s="1"/>
  <c r="B63" i="2"/>
  <c r="C63" i="2"/>
  <c r="D63" i="2" s="1"/>
  <c r="E63" i="2" s="1"/>
  <c r="F63" i="2" s="1"/>
  <c r="G63" i="2" s="1"/>
  <c r="H63" i="2" s="1"/>
  <c r="I63" i="2" s="1"/>
  <c r="L63" i="2"/>
  <c r="M63" i="2" s="1"/>
  <c r="N63" i="2" s="1"/>
  <c r="O63" i="2" s="1"/>
  <c r="P63" i="2" s="1"/>
  <c r="Q63" i="2" s="1"/>
  <c r="R63" i="2" s="1"/>
  <c r="M64" i="2"/>
  <c r="N64" i="2" s="1"/>
  <c r="O64" i="2"/>
  <c r="P64" i="2" s="1"/>
  <c r="Q64" i="2"/>
  <c r="R64" i="2" s="1"/>
  <c r="B65" i="2"/>
  <c r="C65" i="2" s="1"/>
  <c r="D65" i="2" s="1"/>
  <c r="E65" i="2" s="1"/>
  <c r="F65" i="2" s="1"/>
  <c r="G65" i="2" s="1"/>
  <c r="H65" i="2" s="1"/>
  <c r="I65" i="2" s="1"/>
  <c r="L65" i="2"/>
  <c r="M65" i="2" s="1"/>
  <c r="N65" i="2"/>
  <c r="O65" i="2" s="1"/>
  <c r="P65" i="2" s="1"/>
  <c r="Q65" i="2" s="1"/>
  <c r="R65" i="2"/>
  <c r="C66" i="2"/>
  <c r="D66" i="2"/>
  <c r="E66" i="2"/>
  <c r="F66" i="2" s="1"/>
  <c r="G66" i="2" s="1"/>
  <c r="H66" i="2" s="1"/>
  <c r="I66" i="2" s="1"/>
  <c r="M66" i="2"/>
  <c r="N66" i="2"/>
  <c r="O66" i="2" s="1"/>
  <c r="P66" i="2" s="1"/>
  <c r="Q66" i="2" s="1"/>
  <c r="R66" i="2" s="1"/>
  <c r="B67" i="2"/>
  <c r="C67" i="2"/>
  <c r="D67" i="2"/>
  <c r="E67" i="2" s="1"/>
  <c r="F67" i="2" s="1"/>
  <c r="G67" i="2" s="1"/>
  <c r="H67" i="2" s="1"/>
  <c r="I67" i="2" s="1"/>
  <c r="L67" i="2"/>
  <c r="M67" i="2" s="1"/>
  <c r="N67" i="2"/>
  <c r="O67" i="2" s="1"/>
  <c r="P67" i="2"/>
  <c r="Q67" i="2"/>
  <c r="R67" i="2" s="1"/>
  <c r="C68" i="2"/>
  <c r="D68" i="2"/>
  <c r="E68" i="2" s="1"/>
  <c r="F68" i="2"/>
  <c r="G68" i="2"/>
  <c r="H68" i="2" s="1"/>
  <c r="I68" i="2" s="1"/>
  <c r="B69" i="2"/>
  <c r="C69" i="2" s="1"/>
  <c r="D69" i="2"/>
  <c r="E69" i="2" s="1"/>
  <c r="F69" i="2" s="1"/>
  <c r="G69" i="2" s="1"/>
  <c r="H69" i="2"/>
  <c r="I69" i="2" s="1"/>
  <c r="L69" i="2"/>
  <c r="M69" i="2" s="1"/>
  <c r="N69" i="2" s="1"/>
  <c r="O69" i="2" s="1"/>
  <c r="P69" i="2" s="1"/>
  <c r="Q69" i="2" s="1"/>
  <c r="R69" i="2" s="1"/>
  <c r="S69" i="2" s="1"/>
  <c r="C70" i="2"/>
  <c r="D70" i="2" s="1"/>
  <c r="E70" i="2" s="1"/>
  <c r="F70" i="2" s="1"/>
  <c r="G70" i="2" s="1"/>
  <c r="H70" i="2" s="1"/>
  <c r="I70" i="2" s="1"/>
  <c r="M70" i="2"/>
  <c r="N70" i="2"/>
  <c r="O70" i="2" s="1"/>
  <c r="P70" i="2" s="1"/>
  <c r="Q70" i="2" s="1"/>
  <c r="R70" i="2" s="1"/>
  <c r="S70" i="2" s="1"/>
  <c r="B71" i="2"/>
  <c r="C71" i="2" s="1"/>
  <c r="D71" i="2"/>
  <c r="E71" i="2" s="1"/>
  <c r="F71" i="2" s="1"/>
  <c r="G71" i="2" s="1"/>
  <c r="H71" i="2" s="1"/>
  <c r="I71" i="2" s="1"/>
  <c r="L71" i="2"/>
  <c r="M71" i="2"/>
  <c r="N71" i="2"/>
  <c r="O71" i="2" s="1"/>
  <c r="P71" i="2"/>
  <c r="Q71" i="2" s="1"/>
  <c r="R71" i="2" s="1"/>
  <c r="S71" i="2" s="1"/>
  <c r="C72" i="2"/>
  <c r="D72" i="2" s="1"/>
  <c r="E72" i="2"/>
  <c r="F72" i="2" s="1"/>
  <c r="G72" i="2"/>
  <c r="H72" i="2" s="1"/>
  <c r="I72" i="2" s="1"/>
  <c r="M72" i="2"/>
  <c r="N72" i="2"/>
  <c r="O72" i="2" s="1"/>
  <c r="P72" i="2"/>
  <c r="Q72" i="2"/>
  <c r="R72" i="2" s="1"/>
  <c r="S72" i="2" s="1"/>
  <c r="B73" i="2"/>
  <c r="C73" i="2" s="1"/>
  <c r="D73" i="2"/>
  <c r="E73" i="2" s="1"/>
  <c r="F73" i="2" s="1"/>
  <c r="G73" i="2" s="1"/>
  <c r="H73" i="2" s="1"/>
  <c r="I73" i="2" s="1"/>
  <c r="L73" i="2"/>
  <c r="M73" i="2" s="1"/>
  <c r="N73" i="2" s="1"/>
  <c r="O73" i="2" s="1"/>
  <c r="P73" i="2" s="1"/>
  <c r="Q73" i="2" s="1"/>
  <c r="R73" i="2" s="1"/>
  <c r="S73" i="2" s="1"/>
  <c r="M74" i="2"/>
  <c r="N74" i="2" s="1"/>
  <c r="O74" i="2" s="1"/>
  <c r="P74" i="2" s="1"/>
  <c r="Q74" i="2"/>
  <c r="R74" i="2" s="1"/>
  <c r="S74" i="2" s="1"/>
  <c r="L75" i="2"/>
  <c r="M75" i="2"/>
  <c r="N75" i="2" s="1"/>
  <c r="O75" i="2" s="1"/>
  <c r="P75" i="2" s="1"/>
  <c r="Q75" i="2" s="1"/>
  <c r="R75" i="2" s="1"/>
  <c r="S75" i="2" s="1"/>
  <c r="M76" i="2"/>
  <c r="N76" i="2"/>
  <c r="O76" i="2" s="1"/>
  <c r="P76" i="2"/>
  <c r="Q76" i="2" s="1"/>
  <c r="R76" i="2" s="1"/>
  <c r="S76" i="2" s="1"/>
  <c r="L77" i="2"/>
  <c r="M77" i="2"/>
  <c r="N77" i="2" s="1"/>
  <c r="O77" i="2" s="1"/>
  <c r="P77" i="2" s="1"/>
  <c r="Q77" i="2" s="1"/>
  <c r="R77" i="2" s="1"/>
  <c r="S77" i="2" s="1"/>
  <c r="B90" i="2"/>
  <c r="C90" i="2"/>
  <c r="D90" i="2"/>
  <c r="E90" i="2"/>
  <c r="F90" i="2"/>
  <c r="G90" i="2"/>
  <c r="H90" i="2"/>
  <c r="I90" i="2"/>
  <c r="B92" i="2"/>
  <c r="C92" i="2"/>
  <c r="D92" i="2"/>
  <c r="E92" i="2"/>
  <c r="F92" i="2"/>
  <c r="G92" i="2"/>
  <c r="H92" i="2"/>
  <c r="I92" i="2"/>
  <c r="B94" i="2"/>
  <c r="C94" i="2" s="1"/>
  <c r="D94" i="2" s="1"/>
  <c r="E94" i="2" s="1"/>
  <c r="F94" i="2" s="1"/>
  <c r="G94" i="2" s="1"/>
  <c r="H94" i="2" s="1"/>
  <c r="I94" i="2" s="1"/>
  <c r="C95" i="2"/>
  <c r="D95" i="2" s="1"/>
  <c r="E95" i="2" s="1"/>
  <c r="F95" i="2" s="1"/>
  <c r="G95" i="2" s="1"/>
  <c r="H95" i="2" s="1"/>
  <c r="I95" i="2" s="1"/>
  <c r="B96" i="2"/>
  <c r="C96" i="2"/>
  <c r="D96" i="2"/>
  <c r="E96" i="2"/>
  <c r="F96" i="2" s="1"/>
  <c r="G96" i="2" s="1"/>
  <c r="H96" i="2" s="1"/>
  <c r="I96" i="2" s="1"/>
  <c r="B98" i="2"/>
  <c r="C98" i="2"/>
  <c r="D98" i="2"/>
  <c r="E98" i="2"/>
  <c r="F98" i="2" s="1"/>
  <c r="G98" i="2" s="1"/>
  <c r="H98" i="2" s="1"/>
  <c r="I98" i="2" s="1"/>
  <c r="C99" i="2"/>
  <c r="D99" i="2"/>
  <c r="E99" i="2" s="1"/>
  <c r="F99" i="2" s="1"/>
  <c r="G99" i="2" s="1"/>
  <c r="H99" i="2" s="1"/>
  <c r="I99" i="2" s="1"/>
  <c r="B100" i="2"/>
  <c r="C100" i="2" s="1"/>
  <c r="D100" i="2"/>
  <c r="E100" i="2"/>
  <c r="F100" i="2" s="1"/>
  <c r="G100" i="2" s="1"/>
  <c r="H100" i="2" s="1"/>
  <c r="I100" i="2" s="1"/>
  <c r="C101" i="2"/>
  <c r="D101" i="2"/>
  <c r="E101" i="2"/>
  <c r="F101" i="2" s="1"/>
  <c r="G101" i="2" s="1"/>
  <c r="H101" i="2" s="1"/>
  <c r="I101" i="2" s="1"/>
  <c r="B102" i="2"/>
  <c r="C102" i="2"/>
  <c r="D102" i="2" s="1"/>
  <c r="E102" i="2" s="1"/>
  <c r="F102" i="2" s="1"/>
  <c r="G102" i="2" s="1"/>
  <c r="H102" i="2" s="1"/>
  <c r="I102" i="2" s="1"/>
  <c r="B104" i="2"/>
  <c r="C104" i="2" s="1"/>
  <c r="D104" i="2" s="1"/>
  <c r="E104" i="2" s="1"/>
  <c r="F104" i="2" s="1"/>
  <c r="G104" i="2" s="1"/>
  <c r="H104" i="2" s="1"/>
  <c r="I104" i="2" s="1"/>
  <c r="C105" i="2"/>
  <c r="D105" i="2"/>
  <c r="E105" i="2"/>
  <c r="F105" i="2" s="1"/>
  <c r="G105" i="2" s="1"/>
  <c r="H105" i="2" s="1"/>
  <c r="I105" i="2" s="1"/>
  <c r="B106" i="2"/>
  <c r="C106" i="2" s="1"/>
  <c r="D106" i="2" s="1"/>
  <c r="E106" i="2" s="1"/>
  <c r="F106" i="2" s="1"/>
  <c r="G106" i="2" s="1"/>
  <c r="H106" i="2" s="1"/>
  <c r="I106" i="2" s="1"/>
  <c r="C107" i="2"/>
  <c r="D107" i="2"/>
  <c r="E107" i="2" s="1"/>
  <c r="F107" i="2" s="1"/>
  <c r="G107" i="2" s="1"/>
  <c r="H107" i="2"/>
  <c r="I107" i="2"/>
  <c r="B108" i="2"/>
  <c r="C108" i="2"/>
  <c r="D108" i="2" s="1"/>
  <c r="E108" i="2" s="1"/>
  <c r="F108" i="2" s="1"/>
  <c r="G108" i="2"/>
  <c r="H108" i="2" s="1"/>
  <c r="I108" i="2" s="1"/>
  <c r="C109" i="2"/>
  <c r="D109" i="2"/>
  <c r="E109" i="2"/>
  <c r="F109" i="2"/>
  <c r="G109" i="2"/>
  <c r="H109" i="2" s="1"/>
  <c r="I109" i="2" s="1"/>
  <c r="B110" i="2"/>
  <c r="C110" i="2" s="1"/>
  <c r="D110" i="2" s="1"/>
  <c r="E110" i="2"/>
  <c r="F110" i="2"/>
  <c r="G110" i="2" s="1"/>
  <c r="H110" i="2" s="1"/>
  <c r="I110" i="2" s="1"/>
  <c r="C111" i="2"/>
  <c r="D111" i="2"/>
  <c r="E111" i="2"/>
  <c r="F111" i="2"/>
  <c r="G111" i="2" s="1"/>
  <c r="H111" i="2" s="1"/>
  <c r="I111" i="2" s="1"/>
  <c r="B112" i="2"/>
  <c r="C112" i="2"/>
  <c r="D112" i="2"/>
  <c r="E112" i="2" s="1"/>
  <c r="F112" i="2" s="1"/>
  <c r="G112" i="2" s="1"/>
  <c r="H112" i="2" s="1"/>
  <c r="I112" i="2" s="1"/>
  <c r="B114" i="2"/>
  <c r="C114" i="2" s="1"/>
  <c r="D114" i="2" s="1"/>
  <c r="E114" i="2" s="1"/>
  <c r="F114" i="2" s="1"/>
  <c r="G114" i="2" s="1"/>
  <c r="H114" i="2" s="1"/>
  <c r="I114" i="2" s="1"/>
  <c r="C115" i="2"/>
  <c r="D115" i="2" s="1"/>
  <c r="E115" i="2" s="1"/>
  <c r="F115" i="2"/>
  <c r="G115" i="2"/>
  <c r="H115" i="2" s="1"/>
  <c r="I115" i="2" s="1"/>
  <c r="B116" i="2"/>
  <c r="C116" i="2"/>
  <c r="D116" i="2"/>
  <c r="E116" i="2"/>
  <c r="F116" i="2" s="1"/>
  <c r="G116" i="2"/>
  <c r="H116" i="2" s="1"/>
  <c r="I116" i="2" s="1"/>
  <c r="C117" i="2"/>
  <c r="D117" i="2" s="1"/>
  <c r="E117" i="2" s="1"/>
  <c r="F117" i="2" s="1"/>
  <c r="G117" i="2" s="1"/>
  <c r="H117" i="2" s="1"/>
  <c r="I117" i="2" s="1"/>
  <c r="B118" i="2"/>
  <c r="C118" i="2" s="1"/>
  <c r="D118" i="2" s="1"/>
  <c r="E118" i="2" s="1"/>
  <c r="F118" i="2" s="1"/>
  <c r="G118" i="2" s="1"/>
  <c r="H118" i="2" s="1"/>
  <c r="I118" i="2" s="1"/>
  <c r="C119" i="2"/>
  <c r="D119" i="2" s="1"/>
  <c r="E119" i="2" s="1"/>
  <c r="F119" i="2" s="1"/>
  <c r="G119" i="2" s="1"/>
  <c r="H119" i="2" s="1"/>
  <c r="I119" i="2" s="1"/>
  <c r="B120" i="2"/>
  <c r="C120" i="2"/>
  <c r="D120" i="2"/>
  <c r="E120" i="2" s="1"/>
  <c r="F120" i="2" s="1"/>
  <c r="G120" i="2"/>
  <c r="H120" i="2" s="1"/>
  <c r="I120" i="2" s="1"/>
  <c r="C121" i="2"/>
  <c r="D121" i="2" s="1"/>
  <c r="E121" i="2" s="1"/>
  <c r="F121" i="2" s="1"/>
  <c r="G121" i="2" s="1"/>
  <c r="H121" i="2" s="1"/>
  <c r="I121" i="2" s="1"/>
  <c r="B122" i="2"/>
  <c r="C122" i="2" s="1"/>
  <c r="D122" i="2"/>
  <c r="E122" i="2" s="1"/>
  <c r="F122" i="2" s="1"/>
  <c r="G122" i="2" s="1"/>
  <c r="H122" i="2" s="1"/>
  <c r="I122" i="2" s="1"/>
  <c r="B124" i="2"/>
  <c r="C124" i="2" s="1"/>
  <c r="D124" i="2" s="1"/>
  <c r="E124" i="2"/>
  <c r="F124" i="2" s="1"/>
  <c r="G124" i="2" s="1"/>
  <c r="H124" i="2" s="1"/>
  <c r="I124" i="2" s="1"/>
  <c r="C125" i="2"/>
  <c r="D125" i="2"/>
  <c r="E125" i="2" s="1"/>
  <c r="F125" i="2" s="1"/>
  <c r="G125" i="2" s="1"/>
  <c r="H125" i="2" s="1"/>
  <c r="I125" i="2" s="1"/>
  <c r="B126" i="2"/>
  <c r="C126" i="2"/>
  <c r="D126" i="2" s="1"/>
  <c r="E126" i="2"/>
  <c r="F126" i="2" s="1"/>
  <c r="G126" i="2" s="1"/>
  <c r="H126" i="2" s="1"/>
  <c r="I126" i="2" s="1"/>
  <c r="C127" i="2"/>
  <c r="D127" i="2"/>
  <c r="E127" i="2" s="1"/>
  <c r="F127" i="2" s="1"/>
  <c r="G127" i="2"/>
  <c r="H127" i="2" s="1"/>
  <c r="I127" i="2" s="1"/>
  <c r="B128" i="2"/>
  <c r="C128" i="2" s="1"/>
  <c r="D128" i="2" s="1"/>
  <c r="E128" i="2" s="1"/>
  <c r="F128" i="2" s="1"/>
  <c r="G128" i="2" s="1"/>
  <c r="H128" i="2" s="1"/>
  <c r="I128" i="2" s="1"/>
  <c r="C129" i="2"/>
  <c r="D129" i="2"/>
  <c r="E129" i="2" s="1"/>
  <c r="F129" i="2" s="1"/>
  <c r="G129" i="2" s="1"/>
  <c r="H129" i="2" s="1"/>
  <c r="I129" i="2" s="1"/>
  <c r="B130" i="2"/>
  <c r="C130" i="2" s="1"/>
  <c r="D130" i="2" s="1"/>
  <c r="E130" i="2"/>
  <c r="F130" i="2" s="1"/>
  <c r="G130" i="2" s="1"/>
  <c r="H130" i="2" s="1"/>
  <c r="I130" i="2" s="1"/>
  <c r="C131" i="2"/>
  <c r="D131" i="2"/>
  <c r="E131" i="2" s="1"/>
  <c r="F131" i="2" s="1"/>
  <c r="G131" i="2" s="1"/>
  <c r="H131" i="2" s="1"/>
  <c r="I131" i="2" s="1"/>
  <c r="B132" i="2"/>
  <c r="C132" i="2" s="1"/>
  <c r="D132" i="2" s="1"/>
  <c r="E132" i="2" s="1"/>
  <c r="F132" i="2" s="1"/>
  <c r="G132" i="2" s="1"/>
  <c r="H132" i="2"/>
  <c r="I132" i="2" s="1"/>
  <c r="B134" i="2"/>
  <c r="C134" i="2"/>
  <c r="D134" i="2"/>
  <c r="E134" i="2" s="1"/>
  <c r="F134" i="2" s="1"/>
  <c r="G134" i="2" s="1"/>
  <c r="H134" i="2" s="1"/>
  <c r="I134" i="2" s="1"/>
  <c r="C135" i="2"/>
  <c r="D135" i="2" s="1"/>
  <c r="E135" i="2" s="1"/>
  <c r="F135" i="2" s="1"/>
  <c r="G135" i="2" s="1"/>
  <c r="H135" i="2" s="1"/>
  <c r="I135" i="2" s="1"/>
  <c r="B136" i="2"/>
  <c r="C136" i="2"/>
  <c r="D136" i="2" s="1"/>
  <c r="E136" i="2" s="1"/>
  <c r="F136" i="2"/>
  <c r="G136" i="2" s="1"/>
  <c r="H136" i="2" s="1"/>
  <c r="I136" i="2" s="1"/>
  <c r="C137" i="2"/>
  <c r="D137" i="2"/>
  <c r="E137" i="2"/>
  <c r="F137" i="2"/>
  <c r="G137" i="2" s="1"/>
  <c r="H137" i="2" s="1"/>
  <c r="I137" i="2" s="1"/>
  <c r="B138" i="2"/>
  <c r="C138" i="2"/>
  <c r="D138" i="2" s="1"/>
  <c r="E138" i="2" s="1"/>
  <c r="F138" i="2" s="1"/>
  <c r="G138" i="2" s="1"/>
  <c r="H138" i="2" s="1"/>
  <c r="I138" i="2" s="1"/>
  <c r="C139" i="2"/>
  <c r="D139" i="2" s="1"/>
  <c r="E139" i="2"/>
  <c r="F139" i="2" s="1"/>
  <c r="G139" i="2" s="1"/>
  <c r="H139" i="2"/>
  <c r="I139" i="2" s="1"/>
  <c r="B140" i="2"/>
  <c r="C140" i="2"/>
  <c r="D140" i="2" s="1"/>
  <c r="E140" i="2" s="1"/>
  <c r="F140" i="2" s="1"/>
  <c r="G140" i="2" s="1"/>
  <c r="H140" i="2" s="1"/>
  <c r="I140" i="2" s="1"/>
  <c r="C141" i="2"/>
  <c r="D141" i="2"/>
  <c r="E141" i="2"/>
  <c r="F141" i="2" s="1"/>
  <c r="G141" i="2" s="1"/>
  <c r="H141" i="2" s="1"/>
  <c r="I141" i="2" s="1"/>
  <c r="B142" i="2"/>
  <c r="C142" i="2"/>
  <c r="D142" i="2" s="1"/>
  <c r="E142" i="2" s="1"/>
  <c r="F142" i="2" s="1"/>
  <c r="G142" i="2" s="1"/>
  <c r="H142" i="2" s="1"/>
  <c r="I142" i="2" s="1"/>
  <c r="B144" i="2"/>
  <c r="C144" i="2" s="1"/>
  <c r="D144" i="2"/>
  <c r="E144" i="2" s="1"/>
  <c r="F144" i="2" s="1"/>
  <c r="G144" i="2" s="1"/>
  <c r="H144" i="2" s="1"/>
  <c r="I144" i="2" s="1"/>
  <c r="C145" i="2"/>
  <c r="D145" i="2" s="1"/>
  <c r="E145" i="2" s="1"/>
  <c r="F145" i="2"/>
  <c r="G145" i="2" s="1"/>
  <c r="H145" i="2" s="1"/>
  <c r="I145" i="2" s="1"/>
  <c r="B146" i="2"/>
  <c r="C146" i="2"/>
  <c r="D146" i="2"/>
  <c r="E146" i="2" s="1"/>
  <c r="F146" i="2" s="1"/>
  <c r="G146" i="2" s="1"/>
  <c r="H146" i="2" s="1"/>
  <c r="I146" i="2" s="1"/>
  <c r="C147" i="2"/>
  <c r="D147" i="2" s="1"/>
  <c r="E147" i="2" s="1"/>
  <c r="F147" i="2" s="1"/>
  <c r="G147" i="2" s="1"/>
  <c r="H147" i="2" s="1"/>
  <c r="I147" i="2" s="1"/>
  <c r="B148" i="2"/>
  <c r="C148" i="2"/>
  <c r="D148" i="2" s="1"/>
  <c r="E148" i="2" s="1"/>
  <c r="F148" i="2" s="1"/>
  <c r="G148" i="2" s="1"/>
  <c r="H148" i="2" s="1"/>
  <c r="I148" i="2" s="1"/>
  <c r="C149" i="2"/>
  <c r="D149" i="2" s="1"/>
  <c r="E149" i="2" s="1"/>
  <c r="F149" i="2"/>
  <c r="G149" i="2" s="1"/>
  <c r="H149" i="2"/>
  <c r="I149" i="2" s="1"/>
  <c r="B150" i="2"/>
  <c r="C150" i="2"/>
  <c r="D150" i="2"/>
  <c r="E150" i="2" s="1"/>
  <c r="F150" i="2"/>
  <c r="G150" i="2"/>
  <c r="H150" i="2" s="1"/>
  <c r="I150" i="2" s="1"/>
  <c r="C151" i="2"/>
  <c r="D151" i="2" s="1"/>
  <c r="E151" i="2" s="1"/>
  <c r="F151" i="2" s="1"/>
  <c r="G151" i="2" s="1"/>
  <c r="H151" i="2" s="1"/>
  <c r="I151" i="2" s="1"/>
  <c r="B152" i="2"/>
  <c r="C152" i="2" s="1"/>
  <c r="D152" i="2" s="1"/>
  <c r="E152" i="2" s="1"/>
  <c r="F152" i="2" s="1"/>
  <c r="G152" i="2" s="1"/>
  <c r="H152" i="2" s="1"/>
  <c r="I152" i="2" s="1"/>
  <c r="Q1" i="1"/>
  <c r="AB1" i="1"/>
  <c r="N2" i="1"/>
  <c r="S2" i="1"/>
  <c r="S3" i="1"/>
  <c r="N4" i="1"/>
  <c r="S4" i="1"/>
  <c r="S5" i="1"/>
  <c r="N6" i="1"/>
  <c r="R11" i="1"/>
  <c r="Q12" i="1"/>
  <c r="N13" i="1"/>
  <c r="Q13" i="1"/>
  <c r="C15" i="1"/>
  <c r="H15" i="1"/>
  <c r="O17" i="1"/>
  <c r="K19" i="1"/>
  <c r="Z17" i="1" s="1"/>
  <c r="K20" i="1"/>
  <c r="N9" i="1" s="1"/>
  <c r="K21" i="1"/>
  <c r="K22" i="1"/>
  <c r="K23" i="1"/>
  <c r="K49" i="1" s="1"/>
  <c r="K24" i="1"/>
  <c r="K25" i="1"/>
  <c r="I29" i="1"/>
  <c r="R31" i="1"/>
  <c r="Q34" i="1"/>
  <c r="N36" i="1"/>
  <c r="W36" i="1"/>
  <c r="Q37" i="1"/>
  <c r="R39" i="1"/>
  <c r="E40" i="1"/>
  <c r="E41" i="1"/>
  <c r="H41" i="1"/>
  <c r="I41" i="1"/>
  <c r="X25" i="2" s="1"/>
  <c r="E42" i="1"/>
  <c r="R42" i="1"/>
  <c r="H43" i="1"/>
  <c r="K43" i="1"/>
  <c r="K44" i="1" s="1"/>
  <c r="F63" i="1" s="1"/>
  <c r="H44" i="1"/>
  <c r="G46" i="1"/>
  <c r="H46" i="1"/>
  <c r="K46" i="1"/>
  <c r="G47" i="1"/>
  <c r="G48" i="1" s="1"/>
  <c r="B50" i="1"/>
  <c r="K55" i="1"/>
  <c r="K56" i="1"/>
  <c r="E57" i="1" s="1"/>
  <c r="K57" i="1"/>
  <c r="F62" i="1"/>
  <c r="R44" i="1" s="1"/>
  <c r="K67" i="1"/>
  <c r="F69" i="1"/>
  <c r="H69" i="1"/>
  <c r="K69" i="1"/>
  <c r="H70" i="1"/>
  <c r="K70" i="1"/>
  <c r="K71" i="1"/>
  <c r="C80" i="1"/>
  <c r="C81" i="1"/>
  <c r="E82" i="1" s="1"/>
  <c r="F82" i="1" s="1"/>
  <c r="H82" i="1" s="1"/>
  <c r="G82" i="1"/>
  <c r="J83" i="1"/>
  <c r="J84" i="1"/>
  <c r="G88" i="1"/>
  <c r="J88" i="1" s="1"/>
  <c r="K88" i="1"/>
  <c r="G89" i="1"/>
  <c r="J89" i="1" s="1"/>
  <c r="K89" i="1" s="1"/>
  <c r="G91" i="1"/>
  <c r="H91" i="1"/>
  <c r="K91" i="1"/>
  <c r="F99" i="1"/>
  <c r="F101" i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G133" i="1"/>
  <c r="I134" i="1"/>
  <c r="M36" i="1" l="1"/>
  <c r="K63" i="1"/>
  <c r="C69" i="1"/>
  <c r="C88" i="1"/>
  <c r="E88" i="1" s="1"/>
  <c r="F88" i="1" s="1"/>
  <c r="I28" i="1"/>
  <c r="X10" i="2" s="1"/>
  <c r="E48" i="1"/>
  <c r="F48" i="1" s="1"/>
  <c r="H48" i="1" s="1"/>
  <c r="C70" i="1"/>
  <c r="E58" i="1"/>
  <c r="F58" i="1" s="1"/>
  <c r="H58" i="1" s="1"/>
  <c r="Z8" i="1"/>
  <c r="X11" i="2"/>
  <c r="I30" i="1"/>
  <c r="J93" i="1"/>
  <c r="J95" i="1" s="1"/>
  <c r="K62" i="1"/>
  <c r="K64" i="1" s="1"/>
  <c r="F70" i="1"/>
  <c r="J92" i="1"/>
  <c r="AA21" i="2"/>
  <c r="AB21" i="2"/>
  <c r="AA19" i="2"/>
  <c r="AB19" i="2"/>
  <c r="AA25" i="2"/>
  <c r="AB25" i="2"/>
  <c r="AA18" i="2"/>
  <c r="AE16" i="2"/>
  <c r="J34" i="1" s="1"/>
  <c r="K34" i="1" s="1"/>
  <c r="AC18" i="2"/>
  <c r="AD18" i="2" s="1"/>
  <c r="AE18" i="2" s="1"/>
  <c r="J36" i="1" s="1"/>
  <c r="K36" i="1" s="1"/>
  <c r="AC17" i="2"/>
  <c r="AD17" i="2" s="1"/>
  <c r="AE17" i="2" s="1"/>
  <c r="J35" i="1" s="1"/>
  <c r="K35" i="1" s="1"/>
  <c r="AC13" i="2"/>
  <c r="AD13" i="2"/>
  <c r="AB11" i="2"/>
  <c r="L23" i="2"/>
  <c r="M23" i="2" s="1"/>
  <c r="N23" i="2" s="1"/>
  <c r="O23" i="2" s="1"/>
  <c r="P23" i="2" s="1"/>
  <c r="Q23" i="2" s="1"/>
  <c r="R23" i="2" s="1"/>
  <c r="AB20" i="2"/>
  <c r="AB10" i="2"/>
  <c r="AB15" i="2"/>
  <c r="AB14" i="2"/>
  <c r="AD11" i="2" l="1"/>
  <c r="AE11" i="2" s="1"/>
  <c r="J29" i="1" s="1"/>
  <c r="K29" i="1" s="1"/>
  <c r="AC11" i="2"/>
  <c r="AC14" i="2"/>
  <c r="AD14" i="2" s="1"/>
  <c r="AE14" i="2" s="1"/>
  <c r="J32" i="1" s="1"/>
  <c r="K32" i="1" s="1"/>
  <c r="AC19" i="2"/>
  <c r="AD19" i="2" s="1"/>
  <c r="AE19" i="2" s="1"/>
  <c r="J37" i="1" s="1"/>
  <c r="K37" i="1" s="1"/>
  <c r="K65" i="1"/>
  <c r="K66" i="1" s="1"/>
  <c r="AC15" i="2"/>
  <c r="AD15" i="2"/>
  <c r="AE15" i="2" s="1"/>
  <c r="J33" i="1" s="1"/>
  <c r="K33" i="1" s="1"/>
  <c r="AA16" i="1"/>
  <c r="E99" i="1"/>
  <c r="H101" i="1"/>
  <c r="H107" i="1"/>
  <c r="H113" i="1"/>
  <c r="H104" i="1"/>
  <c r="H114" i="1"/>
  <c r="C118" i="1"/>
  <c r="H100" i="1"/>
  <c r="H103" i="1"/>
  <c r="H106" i="1"/>
  <c r="H109" i="1"/>
  <c r="H112" i="1"/>
  <c r="H102" i="1"/>
  <c r="H105" i="1"/>
  <c r="H108" i="1"/>
  <c r="H111" i="1"/>
  <c r="H110" i="1"/>
  <c r="G71" i="1"/>
  <c r="AC20" i="2"/>
  <c r="AD20" i="2"/>
  <c r="AE20" i="2" s="1"/>
  <c r="J38" i="1" s="1"/>
  <c r="K38" i="1" s="1"/>
  <c r="X12" i="2"/>
  <c r="AB12" i="2" s="1"/>
  <c r="I31" i="1"/>
  <c r="AC10" i="2"/>
  <c r="AD10" i="2"/>
  <c r="AE10" i="2" s="1"/>
  <c r="J28" i="1" s="1"/>
  <c r="K28" i="1" s="1"/>
  <c r="AC21" i="2"/>
  <c r="AD21" i="2" s="1"/>
  <c r="AE21" i="2" s="1"/>
  <c r="J39" i="1" s="1"/>
  <c r="K39" i="1" s="1"/>
  <c r="AD25" i="2"/>
  <c r="AE25" i="2" s="1"/>
  <c r="J41" i="1" s="1"/>
  <c r="AC25" i="2"/>
  <c r="F118" i="1"/>
  <c r="J94" i="1"/>
  <c r="C89" i="1"/>
  <c r="E89" i="1" s="1"/>
  <c r="F89" i="1" s="1"/>
  <c r="E74" i="1" l="1"/>
  <c r="F74" i="1" s="1"/>
  <c r="H74" i="1" s="1"/>
  <c r="E75" i="1"/>
  <c r="F75" i="1" s="1"/>
  <c r="H75" i="1" s="1"/>
  <c r="E73" i="1"/>
  <c r="I105" i="1"/>
  <c r="I100" i="1"/>
  <c r="I101" i="1"/>
  <c r="I102" i="1"/>
  <c r="C126" i="1"/>
  <c r="C127" i="1"/>
  <c r="E118" i="1"/>
  <c r="C123" i="1"/>
  <c r="C119" i="1"/>
  <c r="C128" i="1"/>
  <c r="C131" i="1"/>
  <c r="C120" i="1"/>
  <c r="C121" i="1"/>
  <c r="C122" i="1"/>
  <c r="C129" i="1"/>
  <c r="C132" i="1"/>
  <c r="C124" i="1"/>
  <c r="C125" i="1"/>
  <c r="C130" i="1"/>
  <c r="E100" i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B117" i="1"/>
  <c r="H99" i="1"/>
  <c r="I99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G74" i="1"/>
  <c r="G73" i="1"/>
  <c r="I112" i="1"/>
  <c r="I114" i="1"/>
  <c r="I110" i="1"/>
  <c r="I109" i="1"/>
  <c r="I104" i="1"/>
  <c r="X13" i="2"/>
  <c r="AA13" i="2" s="1"/>
  <c r="AE13" i="2" s="1"/>
  <c r="J31" i="1" s="1"/>
  <c r="K31" i="1" s="1"/>
  <c r="I32" i="1"/>
  <c r="I111" i="1"/>
  <c r="I106" i="1"/>
  <c r="I113" i="1"/>
  <c r="AC12" i="2"/>
  <c r="AD12" i="2"/>
  <c r="AE12" i="2" s="1"/>
  <c r="J30" i="1" s="1"/>
  <c r="K30" i="1" s="1"/>
  <c r="K40" i="1" s="1"/>
  <c r="K50" i="1" s="1"/>
  <c r="K51" i="1" s="1"/>
  <c r="G52" i="1" s="1"/>
  <c r="I108" i="1"/>
  <c r="I103" i="1"/>
  <c r="I107" i="1"/>
  <c r="G57" i="1" l="1"/>
  <c r="F57" i="1"/>
  <c r="H57" i="1" s="1"/>
  <c r="E124" i="1"/>
  <c r="F124" i="1"/>
  <c r="E131" i="1"/>
  <c r="F131" i="1"/>
  <c r="E126" i="1"/>
  <c r="F126" i="1"/>
  <c r="E132" i="1"/>
  <c r="F132" i="1"/>
  <c r="B118" i="1"/>
  <c r="B121" i="1"/>
  <c r="B124" i="1"/>
  <c r="B127" i="1"/>
  <c r="B119" i="1"/>
  <c r="B128" i="1"/>
  <c r="B131" i="1"/>
  <c r="B120" i="1"/>
  <c r="B122" i="1"/>
  <c r="B129" i="1"/>
  <c r="B132" i="1"/>
  <c r="B123" i="1"/>
  <c r="B126" i="1"/>
  <c r="B125" i="1"/>
  <c r="B130" i="1"/>
  <c r="E129" i="1"/>
  <c r="F129" i="1"/>
  <c r="E119" i="1"/>
  <c r="F119" i="1"/>
  <c r="E128" i="1"/>
  <c r="F128" i="1"/>
  <c r="X14" i="2"/>
  <c r="I33" i="1"/>
  <c r="E122" i="1"/>
  <c r="F122" i="1"/>
  <c r="E123" i="1"/>
  <c r="F123" i="1"/>
  <c r="F73" i="1"/>
  <c r="H73" i="1" s="1"/>
  <c r="F95" i="1"/>
  <c r="E130" i="1"/>
  <c r="F130" i="1"/>
  <c r="E121" i="1"/>
  <c r="F121" i="1"/>
  <c r="E125" i="1"/>
  <c r="F125" i="1"/>
  <c r="E120" i="1"/>
  <c r="F120" i="1"/>
  <c r="E127" i="1"/>
  <c r="F127" i="1"/>
  <c r="G119" i="1" l="1"/>
  <c r="G122" i="1"/>
  <c r="G125" i="1"/>
  <c r="G123" i="1"/>
  <c r="G129" i="1"/>
  <c r="G132" i="1"/>
  <c r="K132" i="1" s="1"/>
  <c r="G124" i="1"/>
  <c r="G128" i="1"/>
  <c r="G131" i="1"/>
  <c r="G120" i="1"/>
  <c r="G126" i="1"/>
  <c r="G130" i="1"/>
  <c r="G117" i="1"/>
  <c r="G118" i="1"/>
  <c r="G127" i="1"/>
  <c r="G121" i="1"/>
  <c r="I34" i="1"/>
  <c r="X15" i="2"/>
  <c r="J108" i="1" l="1"/>
  <c r="J126" i="1" s="1"/>
  <c r="K125" i="1"/>
  <c r="X16" i="2"/>
  <c r="I35" i="1"/>
  <c r="K129" i="1"/>
  <c r="J112" i="1"/>
  <c r="J130" i="1" s="1"/>
  <c r="J103" i="1"/>
  <c r="J121" i="1" s="1"/>
  <c r="K120" i="1"/>
  <c r="J110" i="1"/>
  <c r="J128" i="1" s="1"/>
  <c r="K127" i="1"/>
  <c r="K128" i="1"/>
  <c r="J111" i="1"/>
  <c r="J129" i="1" s="1"/>
  <c r="J105" i="1"/>
  <c r="J123" i="1" s="1"/>
  <c r="K122" i="1"/>
  <c r="J113" i="1"/>
  <c r="J131" i="1" s="1"/>
  <c r="K130" i="1"/>
  <c r="J109" i="1"/>
  <c r="J127" i="1" s="1"/>
  <c r="K126" i="1"/>
  <c r="K121" i="1"/>
  <c r="J104" i="1"/>
  <c r="J122" i="1" s="1"/>
  <c r="K123" i="1"/>
  <c r="J106" i="1"/>
  <c r="J124" i="1" s="1"/>
  <c r="K131" i="1"/>
  <c r="J114" i="1"/>
  <c r="J132" i="1" s="1"/>
  <c r="J101" i="1"/>
  <c r="J119" i="1" s="1"/>
  <c r="K118" i="1"/>
  <c r="J100" i="1"/>
  <c r="J118" i="1" s="1"/>
  <c r="K117" i="1"/>
  <c r="J107" i="1"/>
  <c r="J125" i="1" s="1"/>
  <c r="K124" i="1"/>
  <c r="K119" i="1"/>
  <c r="J102" i="1"/>
  <c r="J120" i="1" s="1"/>
  <c r="X17" i="2" l="1"/>
  <c r="I36" i="1"/>
  <c r="G134" i="1"/>
  <c r="H134" i="1" s="1"/>
  <c r="J134" i="1" s="1"/>
  <c r="C134" i="1"/>
  <c r="X18" i="2" l="1"/>
  <c r="I37" i="1"/>
  <c r="X19" i="2" l="1"/>
  <c r="I38" i="1"/>
  <c r="X20" i="2" l="1"/>
  <c r="I39" i="1"/>
  <c r="X21" i="2" l="1"/>
  <c r="I40" i="1"/>
</calcChain>
</file>

<file path=xl/sharedStrings.xml><?xml version="1.0" encoding="utf-8"?>
<sst xmlns="http://schemas.openxmlformats.org/spreadsheetml/2006/main" count="609" uniqueCount="467">
  <si>
    <t>Ghi chó:</t>
  </si>
  <si>
    <t>m</t>
  </si>
  <si>
    <t>F</t>
  </si>
  <si>
    <t>h=</t>
  </si>
  <si>
    <t>sè cäc n=</t>
  </si>
  <si>
    <t>B=</t>
  </si>
  <si>
    <t>L=</t>
  </si>
  <si>
    <t>t</t>
  </si>
  <si>
    <t>t.m</t>
  </si>
  <si>
    <t xml:space="preserve"> - Néi lùc:</t>
  </si>
  <si>
    <t>=</t>
  </si>
  <si>
    <t xml:space="preserve"> - §Þa chÊt:</t>
  </si>
  <si>
    <t>g</t>
  </si>
  <si>
    <t>Thø tù</t>
  </si>
  <si>
    <t>CTN</t>
  </si>
  <si>
    <t>Líp 1</t>
  </si>
  <si>
    <t>Líp 2</t>
  </si>
  <si>
    <t>Líp i</t>
  </si>
  <si>
    <t>Líp i+1</t>
  </si>
  <si>
    <t>ChiÒu dµy</t>
  </si>
  <si>
    <t>Mòi cäc</t>
  </si>
  <si>
    <t>(®é)</t>
  </si>
  <si>
    <t>§é s©u</t>
  </si>
  <si>
    <t>C«ng tr×nh:</t>
  </si>
  <si>
    <t>H¹ng môc:</t>
  </si>
  <si>
    <t>VÞ trÝ:</t>
  </si>
  <si>
    <t>§Þa ®iÓm:</t>
  </si>
  <si>
    <t xml:space="preserve"> =</t>
  </si>
  <si>
    <r>
      <t>m</t>
    </r>
    <r>
      <rPr>
        <vertAlign val="superscript"/>
        <sz val="10"/>
        <rFont val=".VnArial"/>
        <family val="2"/>
      </rPr>
      <t>2</t>
    </r>
  </si>
  <si>
    <r>
      <t>kg/cm</t>
    </r>
    <r>
      <rPr>
        <vertAlign val="superscript"/>
        <sz val="10"/>
        <rFont val=".VnArial"/>
        <family val="2"/>
      </rPr>
      <t>2</t>
    </r>
  </si>
  <si>
    <r>
      <t>t/m</t>
    </r>
    <r>
      <rPr>
        <vertAlign val="superscript"/>
        <sz val="10"/>
        <rFont val=".VnArial"/>
        <family val="2"/>
      </rPr>
      <t>3</t>
    </r>
  </si>
  <si>
    <r>
      <t xml:space="preserve">Gãc ma s¸t trong trung b×nh </t>
    </r>
    <r>
      <rPr>
        <sz val="10"/>
        <rFont val="Symbol"/>
        <family val="1"/>
        <charset val="2"/>
      </rPr>
      <t>j</t>
    </r>
    <r>
      <rPr>
        <vertAlign val="subscript"/>
        <sz val="10"/>
        <rFont val=".VnArial"/>
        <family val="2"/>
      </rPr>
      <t>tb</t>
    </r>
    <r>
      <rPr>
        <vertAlign val="superscript"/>
        <sz val="10"/>
        <rFont val=".VnArial"/>
        <family val="2"/>
      </rPr>
      <t>tc</t>
    </r>
    <r>
      <rPr>
        <sz val="10"/>
        <rFont val=".VnArial"/>
        <family val="2"/>
      </rPr>
      <t xml:space="preserve"> = </t>
    </r>
  </si>
  <si>
    <r>
      <t xml:space="preserve">Gãc </t>
    </r>
    <r>
      <rPr>
        <sz val="10"/>
        <rFont val="Symbol"/>
        <family val="1"/>
        <charset val="2"/>
      </rPr>
      <t>j</t>
    </r>
    <r>
      <rPr>
        <vertAlign val="subscript"/>
        <sz val="10"/>
        <rFont val=".VnArial"/>
        <family val="2"/>
      </rPr>
      <t>i</t>
    </r>
    <r>
      <rPr>
        <vertAlign val="superscript"/>
        <sz val="10"/>
        <rFont val=".VnArial"/>
        <family val="2"/>
      </rPr>
      <t>tc</t>
    </r>
  </si>
  <si>
    <r>
      <t>tg</t>
    </r>
    <r>
      <rPr>
        <sz val="10"/>
        <rFont val="Symbol"/>
        <family val="1"/>
        <charset val="2"/>
      </rPr>
      <t>a</t>
    </r>
    <r>
      <rPr>
        <sz val="10"/>
        <rFont val=".VnArial"/>
        <family val="2"/>
      </rPr>
      <t>=</t>
    </r>
  </si>
  <si>
    <r>
      <t>m</t>
    </r>
    <r>
      <rPr>
        <vertAlign val="superscript"/>
        <sz val="10"/>
        <rFont val=".VnArial"/>
        <family val="2"/>
      </rPr>
      <t>3</t>
    </r>
  </si>
  <si>
    <r>
      <t>{R (t/m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)}</t>
    </r>
  </si>
  <si>
    <r>
      <t xml:space="preserve">  </t>
    </r>
    <r>
      <rPr>
        <sz val="10"/>
        <rFont val=".VnArialH"/>
        <family val="2"/>
      </rPr>
      <t xml:space="preserve">  ¸</t>
    </r>
    <r>
      <rPr>
        <sz val="10"/>
        <rFont val=".VnArial"/>
        <family val="2"/>
      </rPr>
      <t>p lùc tiªu chuÈn ®¸y mãng khèi qui ­íc:</t>
    </r>
  </si>
  <si>
    <t>D=</t>
  </si>
  <si>
    <t>cã: A=</t>
  </si>
  <si>
    <r>
      <t xml:space="preserve">    </t>
    </r>
    <r>
      <rPr>
        <sz val="10"/>
        <rFont val=".VnArialH"/>
        <family val="2"/>
      </rPr>
      <t>ø</t>
    </r>
    <r>
      <rPr>
        <sz val="10"/>
        <rFont val=".VnArial"/>
        <family val="2"/>
      </rPr>
      <t>ng suÊt d­íi ®¸y mãng khèi qui ­íc:</t>
    </r>
  </si>
  <si>
    <r>
      <t>t/m</t>
    </r>
    <r>
      <rPr>
        <vertAlign val="superscript"/>
        <sz val="10"/>
        <rFont val=".VnArial"/>
        <family val="2"/>
      </rPr>
      <t>2</t>
    </r>
  </si>
  <si>
    <t>®é</t>
  </si>
  <si>
    <t>a=</t>
  </si>
  <si>
    <t>b=</t>
  </si>
  <si>
    <t>a/b=</t>
  </si>
  <si>
    <r>
      <t>h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=y.b=</t>
    </r>
  </si>
  <si>
    <t>§iÓm</t>
  </si>
  <si>
    <r>
      <t xml:space="preserve"> Z</t>
    </r>
    <r>
      <rPr>
        <sz val="8"/>
        <rFont val=".VnArial"/>
        <family val="2"/>
      </rPr>
      <t>(m)</t>
    </r>
  </si>
  <si>
    <r>
      <t>Z</t>
    </r>
    <r>
      <rPr>
        <sz val="8"/>
        <rFont val=".VnArial"/>
        <family val="2"/>
      </rPr>
      <t>(m)</t>
    </r>
  </si>
  <si>
    <t>t¹i Z=</t>
  </si>
  <si>
    <r>
      <t>®é lón</t>
    </r>
    <r>
      <rPr>
        <sz val="10"/>
        <rFont val="Symbol"/>
        <family val="1"/>
        <charset val="2"/>
      </rPr>
      <t xml:space="preserve"> S</t>
    </r>
    <r>
      <rPr>
        <sz val="10"/>
        <rFont val=".VnArial"/>
        <family val="2"/>
      </rPr>
      <t>S(cm) =</t>
    </r>
  </si>
  <si>
    <r>
      <t xml:space="preserve">hÖ sè </t>
    </r>
    <r>
      <rPr>
        <sz val="10"/>
        <rFont val="Symbol"/>
        <family val="1"/>
        <charset val="2"/>
      </rPr>
      <t>b</t>
    </r>
    <r>
      <rPr>
        <sz val="10"/>
        <rFont val=".VnArial"/>
        <family val="2"/>
      </rPr>
      <t>=</t>
    </r>
  </si>
  <si>
    <t>cm</t>
  </si>
  <si>
    <t>vu«ng</t>
  </si>
  <si>
    <r>
      <t>j</t>
    </r>
    <r>
      <rPr>
        <vertAlign val="superscript"/>
        <sz val="10"/>
        <rFont val=".VnArial"/>
        <family val="2"/>
      </rPr>
      <t>tc</t>
    </r>
    <r>
      <rPr>
        <sz val="10"/>
        <rFont val=".VnArial"/>
        <family val="2"/>
      </rPr>
      <t xml:space="preserve"> =</t>
    </r>
  </si>
  <si>
    <t>N</t>
  </si>
  <si>
    <t xml:space="preserve">    X¸c ®Þnh kÝch th­íc mãng khèi qui ­íc:</t>
  </si>
  <si>
    <r>
      <t>(t/m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2"/>
      </rPr>
      <t>)</t>
    </r>
  </si>
  <si>
    <r>
      <t>b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</si>
  <si>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>S</t>
    </r>
    <r>
      <rPr>
        <sz val="10"/>
        <rFont val=".VnArial"/>
        <family val="2"/>
      </rPr>
      <t>x</t>
    </r>
    <r>
      <rPr>
        <vertAlign val="subscript"/>
        <sz val="10"/>
        <rFont val=".VnArial"/>
        <family val="2"/>
      </rPr>
      <t>i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=</t>
    </r>
  </si>
  <si>
    <r>
      <t>vÏ th¸p chäc thñng (gãc 45</t>
    </r>
    <r>
      <rPr>
        <vertAlign val="superscript"/>
        <sz val="10"/>
        <rFont val=".VnArial"/>
        <family val="2"/>
      </rPr>
      <t>o</t>
    </r>
    <r>
      <rPr>
        <sz val="10"/>
        <rFont val=".VnArial"/>
        <family val="2"/>
      </rPr>
      <t xml:space="preserve"> tõ mÐp cæ mãng)</t>
    </r>
  </si>
  <si>
    <t>c=</t>
  </si>
  <si>
    <t xml:space="preserve"> Chäc thñng: </t>
  </si>
  <si>
    <t>c = kho¶ng c¸ch tõ trôc cäc cÇn tÝnh to¸n ®Õn mÐp ®µi.</t>
  </si>
  <si>
    <t>X=</t>
  </si>
  <si>
    <t>T=</t>
  </si>
  <si>
    <t>T = chiÒu dµi c¹nh ®¸y th¸p, T=h.</t>
  </si>
  <si>
    <t>X</t>
  </si>
  <si>
    <r>
      <t>X = kho¶ng c¸ch tõ mÐp cæ mãng ®Õn trôc cäc cÇn tÝnh to¸n: X= L/2-a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/2-c.</t>
    </r>
  </si>
  <si>
    <t>KÕt qu¶ kiÓm tra</t>
  </si>
  <si>
    <t>So s¸nh</t>
  </si>
  <si>
    <t>Ph­¬ng ¸n thiÕt kÕ</t>
  </si>
  <si>
    <t>VÞ trÝ</t>
  </si>
  <si>
    <t xml:space="preserve">M </t>
  </si>
  <si>
    <t>Sè l­îng</t>
  </si>
  <si>
    <t>(t.m)</t>
  </si>
  <si>
    <t>thÐp</t>
  </si>
  <si>
    <t>(mm)</t>
  </si>
  <si>
    <r>
      <t>M.c¾t</t>
    </r>
    <r>
      <rPr>
        <sz val="10"/>
        <rFont val=".VnTime"/>
        <family val="2"/>
      </rPr>
      <t xml:space="preserve"> I-I</t>
    </r>
  </si>
  <si>
    <r>
      <t xml:space="preserve">M.c¾t </t>
    </r>
    <r>
      <rPr>
        <sz val="10"/>
        <rFont val=".VnTime"/>
        <family val="2"/>
      </rPr>
      <t>II-II</t>
    </r>
  </si>
  <si>
    <r>
      <t>m</t>
    </r>
    <r>
      <rPr>
        <vertAlign val="subscript"/>
        <sz val="9"/>
        <rFont val=".VnArial"/>
        <family val="2"/>
      </rPr>
      <t>tkÕ</t>
    </r>
    <r>
      <rPr>
        <sz val="9"/>
        <rFont val=".VnArial"/>
        <family val="2"/>
      </rPr>
      <t xml:space="preserve"> (%)</t>
    </r>
  </si>
  <si>
    <r>
      <t>m</t>
    </r>
    <r>
      <rPr>
        <vertAlign val="subscript"/>
        <sz val="9"/>
        <rFont val=".VnArial"/>
        <family val="2"/>
      </rPr>
      <t>min</t>
    </r>
    <r>
      <rPr>
        <sz val="9"/>
        <rFont val=".VnArial"/>
        <family val="2"/>
      </rPr>
      <t>(%) =</t>
    </r>
  </si>
  <si>
    <r>
      <t xml:space="preserve">So s¸nh </t>
    </r>
    <r>
      <rPr>
        <sz val="10"/>
        <rFont val="Symbol"/>
        <family val="1"/>
        <charset val="2"/>
      </rPr>
      <t>m</t>
    </r>
    <r>
      <rPr>
        <vertAlign val="subscript"/>
        <sz val="8"/>
        <rFont val=".VnArial"/>
        <family val="2"/>
      </rPr>
      <t>tkÕ</t>
    </r>
    <r>
      <rPr>
        <sz val="10"/>
        <rFont val=".VnArial"/>
        <family val="2"/>
      </rPr>
      <t>&gt;=</t>
    </r>
    <r>
      <rPr>
        <sz val="10"/>
        <rFont val="Symbol"/>
        <family val="1"/>
        <charset val="2"/>
      </rPr>
      <t>m</t>
    </r>
    <r>
      <rPr>
        <vertAlign val="subscript"/>
        <sz val="8"/>
        <rFont val=".VnArial"/>
        <family val="2"/>
      </rPr>
      <t>min</t>
    </r>
  </si>
  <si>
    <r>
      <t>(cm</t>
    </r>
    <r>
      <rPr>
        <vertAlign val="superscript"/>
        <sz val="8"/>
        <rFont val=".VnArial"/>
        <family val="2"/>
      </rPr>
      <t>2</t>
    </r>
    <r>
      <rPr>
        <sz val="8"/>
        <rFont val=".VnArial"/>
        <family val="2"/>
      </rPr>
      <t>)</t>
    </r>
  </si>
  <si>
    <r>
      <t>F</t>
    </r>
    <r>
      <rPr>
        <vertAlign val="subscript"/>
        <sz val="10"/>
        <rFont val=".VnArial"/>
        <family val="2"/>
      </rPr>
      <t>aktra</t>
    </r>
  </si>
  <si>
    <r>
      <t>F</t>
    </r>
    <r>
      <rPr>
        <vertAlign val="subscript"/>
        <sz val="10"/>
        <rFont val=".VnArial"/>
        <family val="2"/>
      </rPr>
      <t>a</t>
    </r>
  </si>
  <si>
    <r>
      <t>F</t>
    </r>
    <r>
      <rPr>
        <vertAlign val="subscript"/>
        <sz val="10"/>
        <rFont val=".VnArial"/>
        <family val="2"/>
      </rPr>
      <t>atkÕ</t>
    </r>
  </si>
  <si>
    <r>
      <t>R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</si>
  <si>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=h-h</t>
    </r>
    <r>
      <rPr>
        <vertAlign val="subscript"/>
        <sz val="10"/>
        <rFont val=".VnArial"/>
        <family val="2"/>
      </rPr>
      <t>ng</t>
    </r>
    <r>
      <rPr>
        <sz val="10"/>
        <rFont val=".VnArial"/>
        <family val="2"/>
      </rPr>
      <t>=</t>
    </r>
  </si>
  <si>
    <t>I</t>
  </si>
  <si>
    <t>II</t>
  </si>
  <si>
    <t>tÊn</t>
  </si>
  <si>
    <t>Líp 3</t>
  </si>
  <si>
    <r>
      <t>B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</si>
  <si>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>L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>=</t>
    </r>
  </si>
  <si>
    <r>
      <t xml:space="preserve"> - Bá qua ¶nh h­ëng n­íc ngÇm (</t>
    </r>
    <r>
      <rPr>
        <sz val="10"/>
        <rFont val="Symbol"/>
        <family val="1"/>
        <charset val="2"/>
      </rPr>
      <t>g</t>
    </r>
    <r>
      <rPr>
        <sz val="10"/>
        <rFont val=".VnArial"/>
        <family val="2"/>
      </rPr>
      <t xml:space="preserve"> ®Èy næi).</t>
    </r>
  </si>
  <si>
    <r>
      <t>§é s©u d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 (l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-h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>)/2+h</t>
    </r>
    <r>
      <rPr>
        <vertAlign val="subscript"/>
        <sz val="10"/>
        <rFont val=".VnArial"/>
        <family val="2"/>
      </rPr>
      <t>3</t>
    </r>
  </si>
  <si>
    <r>
      <t>§é s©u d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= l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+l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/2</t>
    </r>
  </si>
  <si>
    <r>
      <t>l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 xml:space="preserve"> = chiÒu dµy líp 2</t>
    </r>
  </si>
  <si>
    <r>
      <t>§é s©u d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>= d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 xml:space="preserve"> + l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/2 + l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>/2</t>
    </r>
  </si>
  <si>
    <r>
      <t>§é s©u d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2"/>
      </rPr>
      <t>= d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 xml:space="preserve"> + l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>/2 + l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2"/>
      </rPr>
      <t>/2</t>
    </r>
  </si>
  <si>
    <r>
      <t>h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>=</t>
    </r>
  </si>
  <si>
    <r>
      <t>l</t>
    </r>
    <r>
      <rPr>
        <vertAlign val="subscript"/>
        <sz val="10"/>
        <rFont val=".VnArial"/>
        <family val="2"/>
      </rPr>
      <t>1</t>
    </r>
  </si>
  <si>
    <r>
      <t>d</t>
    </r>
    <r>
      <rPr>
        <vertAlign val="subscript"/>
        <sz val="10"/>
        <rFont val=".VnArial"/>
        <family val="2"/>
      </rPr>
      <t>1</t>
    </r>
  </si>
  <si>
    <r>
      <t>d</t>
    </r>
    <r>
      <rPr>
        <vertAlign val="subscript"/>
        <sz val="10"/>
        <rFont val=".VnArial"/>
        <family val="2"/>
      </rPr>
      <t>2</t>
    </r>
  </si>
  <si>
    <r>
      <t>d</t>
    </r>
    <r>
      <rPr>
        <vertAlign val="subscript"/>
        <sz val="10"/>
        <rFont val=".VnArial"/>
        <family val="2"/>
      </rPr>
      <t>3</t>
    </r>
  </si>
  <si>
    <r>
      <t>d</t>
    </r>
    <r>
      <rPr>
        <vertAlign val="subscript"/>
        <sz val="10"/>
        <rFont val=".VnArial"/>
        <family val="2"/>
      </rPr>
      <t>i</t>
    </r>
  </si>
  <si>
    <r>
      <t>d</t>
    </r>
    <r>
      <rPr>
        <vertAlign val="subscript"/>
        <sz val="10"/>
        <rFont val=".VnArial"/>
        <family val="2"/>
      </rPr>
      <t>i+1</t>
    </r>
  </si>
  <si>
    <r>
      <t>l</t>
    </r>
    <r>
      <rPr>
        <vertAlign val="subscript"/>
        <sz val="10"/>
        <rFont val=".VnArial"/>
        <family val="2"/>
      </rPr>
      <t>2</t>
    </r>
  </si>
  <si>
    <r>
      <t>l</t>
    </r>
    <r>
      <rPr>
        <vertAlign val="subscript"/>
        <sz val="10"/>
        <rFont val=".VnArial"/>
        <family val="2"/>
      </rPr>
      <t>3</t>
    </r>
  </si>
  <si>
    <r>
      <t>l</t>
    </r>
    <r>
      <rPr>
        <vertAlign val="subscript"/>
        <sz val="10"/>
        <rFont val=".VnArial"/>
        <family val="2"/>
      </rPr>
      <t>i</t>
    </r>
  </si>
  <si>
    <r>
      <t>l</t>
    </r>
    <r>
      <rPr>
        <vertAlign val="subscript"/>
        <sz val="8"/>
        <rFont val=".VnArial"/>
        <family val="2"/>
      </rPr>
      <t>i+1</t>
    </r>
  </si>
  <si>
    <t>CoIns-404-9(C) - PILE99</t>
  </si>
  <si>
    <t xml:space="preserve"> - Cäc:</t>
  </si>
  <si>
    <t xml:space="preserve"> - HÖ sè:</t>
  </si>
  <si>
    <t>Sè liÖu:</t>
  </si>
  <si>
    <t>Søc chÞu t¶i cña cäc theo vËt liÖu cäc:</t>
  </si>
  <si>
    <r>
      <t>a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: c¹nh t­¬ng øng víi L, trôc X.</t>
    </r>
  </si>
  <si>
    <r>
      <t>L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: c¹nh t­¬ng øng víi L, trôc X.</t>
    </r>
  </si>
  <si>
    <r>
      <t>S(g</t>
    </r>
    <r>
      <rPr>
        <vertAlign val="subscript"/>
        <sz val="10"/>
        <rFont val=".VnArial"/>
        <family val="2"/>
      </rPr>
      <t>i</t>
    </r>
    <r>
      <rPr>
        <vertAlign val="superscript"/>
        <sz val="10"/>
        <rFont val=".VnArial"/>
        <family val="2"/>
      </rPr>
      <t>tc</t>
    </r>
    <r>
      <rPr>
        <sz val="10"/>
        <rFont val=".VnArial"/>
        <family val="2"/>
      </rPr>
      <t>.l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)/</t>
    </r>
    <r>
      <rPr>
        <sz val="10"/>
        <rFont val="Symbol"/>
        <family val="1"/>
        <charset val="2"/>
      </rPr>
      <t>S</t>
    </r>
    <r>
      <rPr>
        <sz val="10"/>
        <rFont val=".VnArial"/>
        <family val="2"/>
      </rPr>
      <t>l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=</t>
    </r>
  </si>
  <si>
    <r>
      <t>S(j</t>
    </r>
    <r>
      <rPr>
        <vertAlign val="subscript"/>
        <sz val="10"/>
        <rFont val=".VnArial"/>
        <family val="2"/>
      </rPr>
      <t>i</t>
    </r>
    <r>
      <rPr>
        <vertAlign val="superscript"/>
        <sz val="10"/>
        <rFont val=".VnArial"/>
        <family val="2"/>
      </rPr>
      <t>tc</t>
    </r>
    <r>
      <rPr>
        <sz val="10"/>
        <rFont val=".VnArial"/>
        <family val="2"/>
      </rPr>
      <t>.l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)/</t>
    </r>
    <r>
      <rPr>
        <sz val="10"/>
        <rFont val="Symbol"/>
        <family val="1"/>
        <charset val="2"/>
      </rPr>
      <t>S</t>
    </r>
    <r>
      <rPr>
        <sz val="10"/>
        <rFont val=".VnArial"/>
        <family val="2"/>
      </rPr>
      <t>l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=</t>
    </r>
  </si>
  <si>
    <r>
      <t>a</t>
    </r>
    <r>
      <rPr>
        <sz val="10"/>
        <rFont val=".VnArial"/>
        <family val="2"/>
      </rPr>
      <t>=</t>
    </r>
    <r>
      <rPr>
        <sz val="10"/>
        <rFont val="Symbol"/>
        <family val="1"/>
        <charset val="2"/>
      </rPr>
      <t>j</t>
    </r>
    <r>
      <rPr>
        <vertAlign val="subscript"/>
        <sz val="10"/>
        <rFont val=".VnArial"/>
        <family val="2"/>
      </rPr>
      <t>tb</t>
    </r>
    <r>
      <rPr>
        <vertAlign val="superscript"/>
        <sz val="10"/>
        <rFont val=".VnArial"/>
        <family val="2"/>
      </rPr>
      <t>tc</t>
    </r>
    <r>
      <rPr>
        <sz val="10"/>
        <rFont val=".VnArial"/>
        <family val="2"/>
      </rPr>
      <t>/4=</t>
    </r>
  </si>
  <si>
    <t>6-</t>
  </si>
  <si>
    <t>1-</t>
  </si>
  <si>
    <t>2-</t>
  </si>
  <si>
    <t>3-</t>
  </si>
  <si>
    <t>4-</t>
  </si>
  <si>
    <t>5-</t>
  </si>
  <si>
    <t>7-</t>
  </si>
  <si>
    <r>
      <t>a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</si>
  <si>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>L: chiÒu cao chèng uèn (trôc X), chän theo m«men M</t>
    </r>
    <r>
      <rPr>
        <sz val="8"/>
        <rFont val=".VnArial"/>
        <family val="2"/>
      </rPr>
      <t>y</t>
    </r>
    <r>
      <rPr>
        <sz val="10"/>
        <rFont val=".VnArial"/>
        <family val="2"/>
      </rPr>
      <t>.</t>
    </r>
  </si>
  <si>
    <r>
      <t>(v× vËy cã thÓ ph¶i gép nhiÒu líp ®Ó thµnh líp ®Çu tiªn cã chiÒu dµy l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)</t>
    </r>
  </si>
  <si>
    <r>
      <t>m</t>
    </r>
    <r>
      <rPr>
        <vertAlign val="subscript"/>
        <sz val="10"/>
        <rFont val=".VnArial"/>
        <family val="2"/>
      </rPr>
      <t>1</t>
    </r>
  </si>
  <si>
    <r>
      <t>m</t>
    </r>
    <r>
      <rPr>
        <vertAlign val="subscript"/>
        <sz val="10"/>
        <rFont val=".VnArial"/>
        <family val="2"/>
      </rPr>
      <t>a</t>
    </r>
  </si>
  <si>
    <r>
      <t>m</t>
    </r>
    <r>
      <rPr>
        <vertAlign val="subscript"/>
        <sz val="10"/>
        <rFont val=".VnArial"/>
        <family val="2"/>
      </rPr>
      <t>b</t>
    </r>
  </si>
  <si>
    <r>
      <t>m</t>
    </r>
    <r>
      <rPr>
        <vertAlign val="subscript"/>
        <sz val="10"/>
        <rFont val=".VnArial"/>
        <family val="2"/>
      </rPr>
      <t>f</t>
    </r>
  </si>
  <si>
    <r>
      <t>s</t>
    </r>
    <r>
      <rPr>
        <vertAlign val="subscript"/>
        <sz val="10"/>
        <rFont val=".VnArial"/>
        <family val="2"/>
      </rPr>
      <t>®</t>
    </r>
  </si>
  <si>
    <r>
      <t>líp l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 xml:space="preserve"> (m)</t>
    </r>
  </si>
  <si>
    <r>
      <t>d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 xml:space="preserve"> (m)</t>
    </r>
  </si>
  <si>
    <r>
      <t>f</t>
    </r>
    <r>
      <rPr>
        <vertAlign val="subscript"/>
        <sz val="10"/>
        <rFont val=".VnArial"/>
        <family val="2"/>
      </rPr>
      <t>i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(t/m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</t>
    </r>
  </si>
  <si>
    <r>
      <t>f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.l</t>
    </r>
    <r>
      <rPr>
        <vertAlign val="subscript"/>
        <sz val="10"/>
        <rFont val=".VnArial"/>
        <family val="2"/>
      </rPr>
      <t>i</t>
    </r>
  </si>
  <si>
    <r>
      <t>G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 xml:space="preserve"> =</t>
    </r>
  </si>
  <si>
    <r>
      <t>L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=L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+2.h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.tg</t>
    </r>
    <r>
      <rPr>
        <sz val="10"/>
        <rFont val="Symbol"/>
        <family val="1"/>
        <charset val="2"/>
      </rPr>
      <t>a =</t>
    </r>
  </si>
  <si>
    <r>
      <t>B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=B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+2.h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.tg</t>
    </r>
    <r>
      <rPr>
        <sz val="10"/>
        <rFont val="Symbol"/>
        <family val="1"/>
        <charset val="2"/>
      </rPr>
      <t>a =</t>
    </r>
  </si>
  <si>
    <r>
      <t>F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=B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.L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 xml:space="preserve"> =</t>
    </r>
  </si>
  <si>
    <r>
      <t>W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=B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.L</t>
    </r>
    <r>
      <rPr>
        <vertAlign val="subscript"/>
        <sz val="10"/>
        <rFont val=".VnArial"/>
        <family val="2"/>
      </rPr>
      <t>q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/6 =</t>
    </r>
  </si>
  <si>
    <r>
      <t>G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2"/>
      </rPr>
      <t xml:space="preserve"> =</t>
    </r>
    <r>
      <rPr>
        <sz val="10"/>
        <rFont val="Symbol"/>
        <family val="1"/>
        <charset val="2"/>
      </rPr>
      <t xml:space="preserve"> g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>.h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.F</t>
    </r>
    <r>
      <rPr>
        <vertAlign val="subscript"/>
        <sz val="10"/>
        <rFont val=".VnArial"/>
        <family val="2"/>
      </rPr>
      <t>q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</t>
    </r>
  </si>
  <si>
    <r>
      <t>s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/>
    </r>
  </si>
  <si>
    <r>
      <t>s</t>
    </r>
    <r>
      <rPr>
        <vertAlign val="subscript"/>
        <sz val="10"/>
        <rFont val=".VnArial"/>
        <family val="2"/>
      </rPr>
      <t>max</t>
    </r>
  </si>
  <si>
    <r>
      <t>s</t>
    </r>
    <r>
      <rPr>
        <vertAlign val="subscript"/>
        <sz val="10"/>
        <rFont val=".VnArial"/>
        <family val="2"/>
      </rPr>
      <t>min</t>
    </r>
    <r>
      <rPr>
        <sz val="10"/>
        <rFont val=".VnArial"/>
        <family val="2"/>
      </rPr>
      <t/>
    </r>
  </si>
  <si>
    <r>
      <t>h</t>
    </r>
    <r>
      <rPr>
        <vertAlign val="subscript"/>
        <sz val="10"/>
        <rFont val=".VnArial"/>
        <family val="2"/>
      </rPr>
      <t>i</t>
    </r>
    <r>
      <rPr>
        <sz val="8"/>
        <rFont val=".VnArial"/>
        <family val="2"/>
      </rPr>
      <t xml:space="preserve"> (m)</t>
    </r>
  </si>
  <si>
    <r>
      <t>h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i</t>
    </r>
    <r>
      <rPr>
        <sz val="8"/>
        <rFont val=".VnArial"/>
        <family val="2"/>
      </rPr>
      <t xml:space="preserve"> (t/m</t>
    </r>
    <r>
      <rPr>
        <vertAlign val="superscript"/>
        <sz val="10"/>
        <rFont val=".VnArial"/>
        <family val="2"/>
      </rPr>
      <t>2</t>
    </r>
    <r>
      <rPr>
        <sz val="8"/>
        <rFont val=".VnArial"/>
        <family val="2"/>
      </rPr>
      <t>)</t>
    </r>
  </si>
  <si>
    <r>
      <t>s</t>
    </r>
    <r>
      <rPr>
        <vertAlign val="subscript"/>
        <sz val="10"/>
        <rFont val=".VnArial"/>
        <family val="2"/>
      </rPr>
      <t>zicp</t>
    </r>
  </si>
  <si>
    <r>
      <t>z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 xml:space="preserve"> </t>
    </r>
    <r>
      <rPr>
        <sz val="8"/>
        <rFont val=".VnArial"/>
        <family val="2"/>
      </rPr>
      <t>(m)</t>
    </r>
  </si>
  <si>
    <r>
      <t>2z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/b</t>
    </r>
  </si>
  <si>
    <r>
      <t>s</t>
    </r>
    <r>
      <rPr>
        <vertAlign val="subscript"/>
        <sz val="10"/>
        <rFont val=".VnArial"/>
        <family val="2"/>
      </rPr>
      <t>zi</t>
    </r>
    <r>
      <rPr>
        <sz val="10"/>
        <rFont val=".VnCentury Schoolbook"/>
        <family val="2"/>
      </rPr>
      <t>=k</t>
    </r>
    <r>
      <rPr>
        <vertAlign val="subscript"/>
        <sz val="10"/>
        <rFont val=".VnArial"/>
        <family val="2"/>
      </rPr>
      <t>o</t>
    </r>
    <r>
      <rPr>
        <sz val="10"/>
        <rFont val=".VnCentury Schoolbook"/>
        <family val="2"/>
      </rPr>
      <t>.</t>
    </r>
    <r>
      <rPr>
        <sz val="11"/>
        <rFont val="Symbol"/>
        <family val="1"/>
        <charset val="2"/>
      </rPr>
      <t>s</t>
    </r>
    <r>
      <rPr>
        <vertAlign val="subscript"/>
        <sz val="10"/>
        <rFont val=".VnArial"/>
        <family val="2"/>
      </rPr>
      <t>gl</t>
    </r>
  </si>
  <si>
    <r>
      <t>s</t>
    </r>
    <r>
      <rPr>
        <vertAlign val="subscript"/>
        <sz val="10"/>
        <rFont val=".VnArial"/>
        <family val="2"/>
      </rPr>
      <t>®</t>
    </r>
    <r>
      <rPr>
        <sz val="10"/>
        <rFont val=".VnArial"/>
        <family val="2"/>
      </rPr>
      <t>=</t>
    </r>
    <r>
      <rPr>
        <sz val="10"/>
        <rFont val="Symbol"/>
        <family val="1"/>
        <charset val="2"/>
      </rPr>
      <t>S(</t>
    </r>
    <r>
      <rPr>
        <sz val="10"/>
        <rFont val=".VnArial"/>
        <family val="2"/>
      </rPr>
      <t>h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)</t>
    </r>
  </si>
  <si>
    <r>
      <t>S</t>
    </r>
    <r>
      <rPr>
        <vertAlign val="subscript"/>
        <sz val="10"/>
        <rFont val=".VnArial"/>
        <family val="2"/>
      </rPr>
      <t>i</t>
    </r>
    <r>
      <rPr>
        <sz val="8"/>
        <rFont val=".VnArial"/>
        <family val="2"/>
      </rPr>
      <t xml:space="preserve"> (cm)</t>
    </r>
  </si>
  <si>
    <r>
      <t>®iÒu kiÖn t¾t lón:</t>
    </r>
    <r>
      <rPr>
        <sz val="11"/>
        <rFont val="Symbol"/>
        <family val="1"/>
        <charset val="2"/>
      </rPr>
      <t xml:space="preserve"> s</t>
    </r>
    <r>
      <rPr>
        <vertAlign val="subscript"/>
        <sz val="10"/>
        <rFont val=".VnArial"/>
        <family val="2"/>
      </rPr>
      <t>zi</t>
    </r>
    <r>
      <rPr>
        <sz val="10"/>
        <rFont val=".VnArial"/>
        <family val="2"/>
      </rPr>
      <t>=</t>
    </r>
    <r>
      <rPr>
        <sz val="10"/>
        <rFont val=".VnArial"/>
        <family val="2"/>
      </rPr>
      <t>k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.</t>
    </r>
    <r>
      <rPr>
        <sz val="11"/>
        <rFont val="Symbol"/>
        <family val="1"/>
        <charset val="2"/>
      </rPr>
      <t>s</t>
    </r>
    <r>
      <rPr>
        <vertAlign val="subscript"/>
        <sz val="10"/>
        <rFont val=".VnArial"/>
        <family val="2"/>
      </rPr>
      <t>gl</t>
    </r>
    <r>
      <rPr>
        <sz val="10"/>
        <rFont val=".VnArial"/>
        <family val="2"/>
      </rPr>
      <t xml:space="preserve"> &lt;=</t>
    </r>
  </si>
  <si>
    <r>
      <t>k</t>
    </r>
    <r>
      <rPr>
        <vertAlign val="subscript"/>
        <sz val="10"/>
        <rFont val=".VnArial"/>
        <family val="2"/>
      </rPr>
      <t>o</t>
    </r>
  </si>
  <si>
    <r>
      <t>s</t>
    </r>
    <r>
      <rPr>
        <vertAlign val="subscript"/>
        <sz val="10"/>
        <rFont val=".VnArial"/>
        <family val="2"/>
      </rPr>
      <t>gl</t>
    </r>
    <r>
      <rPr>
        <sz val="10"/>
        <rFont val=".VnArial"/>
        <family val="2"/>
      </rPr>
      <t>=</t>
    </r>
    <r>
      <rPr>
        <sz val="11"/>
        <rFont val="Symbol"/>
        <family val="1"/>
        <charset val="2"/>
      </rPr>
      <t>s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>-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>.(h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+h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>)=</t>
    </r>
  </si>
  <si>
    <r>
      <t>P</t>
    </r>
    <r>
      <rPr>
        <vertAlign val="subscript"/>
        <sz val="10"/>
        <rFont val=".VnArial"/>
        <family val="2"/>
      </rPr>
      <t>max</t>
    </r>
  </si>
  <si>
    <r>
      <t>P</t>
    </r>
    <r>
      <rPr>
        <vertAlign val="subscript"/>
        <sz val="10"/>
        <rFont val=".VnArial"/>
        <family val="2"/>
      </rPr>
      <t>min</t>
    </r>
    <r>
      <rPr>
        <sz val="10"/>
        <rFont val=".VnArial"/>
        <family val="2"/>
      </rPr>
      <t/>
    </r>
  </si>
  <si>
    <r>
      <t>N</t>
    </r>
    <r>
      <rPr>
        <vertAlign val="subscript"/>
        <sz val="10"/>
        <rFont val=".VnArial"/>
        <family val="2"/>
      </rPr>
      <t>tt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 N+G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+G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 xml:space="preserve"> = </t>
    </r>
  </si>
  <si>
    <r>
      <t>M</t>
    </r>
    <r>
      <rPr>
        <vertAlign val="subscript"/>
        <sz val="10"/>
        <rFont val=".VnArial"/>
        <family val="2"/>
      </rPr>
      <t>tt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 M</t>
    </r>
    <r>
      <rPr>
        <vertAlign val="subscript"/>
        <sz val="10"/>
        <rFont val=".VnArial"/>
        <family val="2"/>
      </rPr>
      <t>y</t>
    </r>
    <r>
      <rPr>
        <sz val="10"/>
        <rFont val=".VnArial"/>
        <family val="2"/>
      </rPr>
      <t>+Q</t>
    </r>
    <r>
      <rPr>
        <vertAlign val="subscript"/>
        <sz val="10"/>
        <rFont val=".VnArial"/>
        <family val="2"/>
      </rPr>
      <t>x</t>
    </r>
    <r>
      <rPr>
        <sz val="10"/>
        <rFont val=".VnArial"/>
        <family val="2"/>
      </rPr>
      <t xml:space="preserve">.h = </t>
    </r>
  </si>
  <si>
    <r>
      <t>P</t>
    </r>
    <r>
      <rPr>
        <vertAlign val="subscript"/>
        <sz val="10"/>
        <rFont val=".VnArial"/>
        <family val="2"/>
      </rPr>
      <t>k</t>
    </r>
    <r>
      <rPr>
        <sz val="10"/>
        <rFont val=".VnArial"/>
        <family val="2"/>
      </rPr>
      <t>=</t>
    </r>
  </si>
  <si>
    <t>(H×nh vÏ m« pháng)</t>
  </si>
  <si>
    <r>
      <t>h</t>
    </r>
    <r>
      <rPr>
        <vertAlign val="subscript"/>
        <sz val="10"/>
        <rFont val=".VnArial"/>
        <family val="2"/>
      </rPr>
      <t>tk</t>
    </r>
  </si>
  <si>
    <r>
      <t>h</t>
    </r>
    <r>
      <rPr>
        <vertAlign val="subscript"/>
        <sz val="10"/>
        <rFont val=".VnArial"/>
        <family val="2"/>
      </rPr>
      <t>sn</t>
    </r>
  </si>
  <si>
    <r>
      <t>h</t>
    </r>
    <r>
      <rPr>
        <vertAlign val="subscript"/>
        <sz val="10"/>
        <rFont val=".VnArial"/>
        <family val="2"/>
      </rPr>
      <t>tn</t>
    </r>
  </si>
  <si>
    <r>
      <t>h</t>
    </r>
    <r>
      <rPr>
        <vertAlign val="subscript"/>
        <sz val="10"/>
        <rFont val=".VnArial"/>
        <family val="2"/>
      </rPr>
      <t>2</t>
    </r>
  </si>
  <si>
    <r>
      <t>h</t>
    </r>
    <r>
      <rPr>
        <vertAlign val="subscript"/>
        <sz val="10"/>
        <rFont val=".VnArial"/>
        <family val="2"/>
      </rPr>
      <t>dm</t>
    </r>
  </si>
  <si>
    <r>
      <t>h</t>
    </r>
    <r>
      <rPr>
        <vertAlign val="subscript"/>
        <sz val="9"/>
        <rFont val=".VnArial"/>
        <family val="2"/>
      </rPr>
      <t>ng</t>
    </r>
  </si>
  <si>
    <r>
      <t>B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=</t>
    </r>
  </si>
  <si>
    <r>
      <t>L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</si>
  <si>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>L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=</t>
    </r>
  </si>
  <si>
    <r>
      <t xml:space="preserve"> - §iÓm ®Æt néi lùc N,Q,M: t¹i cèt h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 xml:space="preserve"> (mÆt trªn ®µi cäc).</t>
    </r>
  </si>
  <si>
    <t xml:space="preserve">Cèt san nÒn, tù nhiªn vµ ®¸y mãng: gi¸ trÞ </t>
  </si>
  <si>
    <t>®Òu ®­îc tÝnh so víi cèt thiÕt kÕ 0,000.</t>
  </si>
  <si>
    <t>NÕu mét líp cã chiÒu dµy lín vÉn ph¶i chia nhá</t>
  </si>
  <si>
    <t>(t/m)</t>
  </si>
  <si>
    <r>
      <t xml:space="preserve"> - In c¸c trang: </t>
    </r>
    <r>
      <rPr>
        <sz val="10"/>
        <color indexed="10"/>
        <rFont val=".VnArial"/>
        <family val="2"/>
      </rPr>
      <t>1,2,3, trang 4</t>
    </r>
    <r>
      <rPr>
        <sz val="10"/>
        <rFont val=".VnArial"/>
        <family val="2"/>
      </rPr>
      <t xml:space="preserve"> in h×nh vÏ.</t>
    </r>
  </si>
  <si>
    <t xml:space="preserve">             cña c¸c tiÕt diÖn cäc (lµ träng t©m tiÕt diÖn ®µi), theo ph­¬ng c¹nh L, trôc X.</t>
  </si>
  <si>
    <r>
      <t>x</t>
    </r>
    <r>
      <rPr>
        <vertAlign val="superscript"/>
        <sz val="10"/>
        <rFont val=".VnArial"/>
        <family val="2"/>
      </rPr>
      <t>n,k</t>
    </r>
    <r>
      <rPr>
        <vertAlign val="subscript"/>
        <sz val="10"/>
        <rFont val=".VnArial"/>
        <family val="2"/>
      </rPr>
      <t>max</t>
    </r>
    <r>
      <rPr>
        <sz val="10"/>
        <rFont val=".VnArial"/>
        <family val="2"/>
      </rPr>
      <t>: kho¶ng c¸ch tõ träng t©m cäc chÞu nÐn, chÞu kÐo nhiÒu nhÊt ®Õn träng t©m</t>
    </r>
  </si>
  <si>
    <r>
      <t>x</t>
    </r>
    <r>
      <rPr>
        <vertAlign val="superscript"/>
        <sz val="10"/>
        <rFont val=".VnArial"/>
        <family val="2"/>
      </rPr>
      <t>n,k</t>
    </r>
    <r>
      <rPr>
        <vertAlign val="subscript"/>
        <sz val="10"/>
        <rFont val=".VnArial"/>
        <family val="2"/>
      </rPr>
      <t>max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</si>
  <si>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tk</t>
    </r>
    <r>
      <rPr>
        <sz val="10"/>
        <rFont val=".VnArial"/>
        <family val="2"/>
      </rPr>
      <t>=</t>
    </r>
  </si>
  <si>
    <r>
      <t>h</t>
    </r>
    <r>
      <rPr>
        <vertAlign val="subscript"/>
        <sz val="9"/>
        <rFont val=".VnArial"/>
        <family val="2"/>
      </rPr>
      <t>th</t>
    </r>
  </si>
  <si>
    <r>
      <t>h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=L</t>
    </r>
    <r>
      <rPr>
        <vertAlign val="subscript"/>
        <sz val="10"/>
        <rFont val=".VnArial"/>
        <family val="2"/>
      </rPr>
      <t>c</t>
    </r>
    <r>
      <rPr>
        <sz val="10"/>
        <rFont val=".VnArial"/>
        <family val="2"/>
      </rPr>
      <t>-h</t>
    </r>
    <r>
      <rPr>
        <vertAlign val="subscript"/>
        <sz val="10"/>
        <rFont val=".VnArial"/>
        <family val="2"/>
      </rPr>
      <t>th</t>
    </r>
    <r>
      <rPr>
        <sz val="10"/>
        <rFont val=".VnArial"/>
        <family val="2"/>
      </rPr>
      <t>-h</t>
    </r>
    <r>
      <rPr>
        <vertAlign val="subscript"/>
        <sz val="10"/>
        <rFont val=".VnArial"/>
        <family val="2"/>
      </rPr>
      <t>ng</t>
    </r>
    <r>
      <rPr>
        <sz val="10"/>
        <rFont val=".VnArial"/>
        <family val="2"/>
      </rPr>
      <t>=</t>
    </r>
  </si>
  <si>
    <t>anfa-2</t>
  </si>
  <si>
    <r>
      <t>m       h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=L</t>
    </r>
    <r>
      <rPr>
        <vertAlign val="subscript"/>
        <sz val="10"/>
        <rFont val=".VnArial"/>
        <family val="2"/>
      </rPr>
      <t>c</t>
    </r>
    <r>
      <rPr>
        <sz val="10"/>
        <rFont val=".VnArial"/>
        <family val="2"/>
      </rPr>
      <t>-h</t>
    </r>
    <r>
      <rPr>
        <vertAlign val="subscript"/>
        <sz val="10"/>
        <rFont val=".VnArial"/>
        <family val="2"/>
      </rPr>
      <t>th</t>
    </r>
    <r>
      <rPr>
        <sz val="10"/>
        <rFont val=".VnArial"/>
        <family val="2"/>
      </rPr>
      <t>-h</t>
    </r>
    <r>
      <rPr>
        <vertAlign val="subscript"/>
        <sz val="10"/>
        <rFont val=".VnArial"/>
        <family val="2"/>
      </rPr>
      <t>ng</t>
    </r>
    <r>
      <rPr>
        <sz val="10"/>
        <rFont val=".VnArial"/>
        <family val="2"/>
      </rPr>
      <t>=</t>
    </r>
  </si>
  <si>
    <r>
      <t>m        h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=h</t>
    </r>
    <r>
      <rPr>
        <vertAlign val="subscript"/>
        <sz val="10"/>
        <rFont val=".VnArial"/>
        <family val="2"/>
      </rPr>
      <t>dm</t>
    </r>
    <r>
      <rPr>
        <sz val="10"/>
        <rFont val=".VnArial"/>
        <family val="2"/>
      </rPr>
      <t>-h-h</t>
    </r>
    <r>
      <rPr>
        <vertAlign val="subscript"/>
        <sz val="10"/>
        <rFont val=".VnArial"/>
        <family val="2"/>
      </rPr>
      <t>tk</t>
    </r>
    <r>
      <rPr>
        <sz val="10"/>
        <rFont val=".VnArial"/>
        <family val="2"/>
      </rPr>
      <t>=</t>
    </r>
  </si>
  <si>
    <r>
      <t xml:space="preserve">    Sè liÖu ®­îc tÝnh tõ cèt tù nhiªn (h</t>
    </r>
    <r>
      <rPr>
        <vertAlign val="subscript"/>
        <sz val="9"/>
        <color indexed="10"/>
        <rFont val=".VnArial"/>
        <family val="2"/>
      </rPr>
      <t>tn</t>
    </r>
    <r>
      <rPr>
        <sz val="9"/>
        <color indexed="10"/>
        <rFont val=".VnArial"/>
        <family val="2"/>
      </rPr>
      <t>).</t>
    </r>
  </si>
  <si>
    <r>
      <t>g</t>
    </r>
    <r>
      <rPr>
        <sz val="10"/>
        <rFont val=".VnArial"/>
        <family val="2"/>
      </rPr>
      <t xml:space="preserve"> ®Êt tõ CTN ®Õn mòi cäc </t>
    </r>
    <r>
      <rPr>
        <sz val="10"/>
        <color indexed="10"/>
        <rFont val=".VnArial"/>
        <family val="2"/>
      </rPr>
      <t xml:space="preserve">       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 xml:space="preserve"> = </t>
    </r>
  </si>
  <si>
    <r>
      <t>L</t>
    </r>
    <r>
      <rPr>
        <vertAlign val="subscript"/>
        <sz val="8"/>
        <rFont val=".VnArial"/>
        <family val="2"/>
      </rPr>
      <t>m</t>
    </r>
    <r>
      <rPr>
        <sz val="10"/>
        <rFont val=".VnArial"/>
        <family val="2"/>
      </rPr>
      <t>=</t>
    </r>
  </si>
  <si>
    <r>
      <t>R = m</t>
    </r>
    <r>
      <rPr>
        <vertAlign val="subscript"/>
        <sz val="10"/>
        <rFont val=".VnArial"/>
        <family val="2"/>
      </rPr>
      <t>k</t>
    </r>
    <r>
      <rPr>
        <sz val="10"/>
        <rFont val=".VnArial"/>
        <family val="2"/>
      </rPr>
      <t>[A.b</t>
    </r>
    <r>
      <rPr>
        <vertAlign val="subscript"/>
        <sz val="10"/>
        <rFont val=".VnArial"/>
        <family val="2"/>
      </rPr>
      <t>m</t>
    </r>
    <r>
      <rPr>
        <sz val="8"/>
        <rFont val=".VnArial"/>
        <family val="2"/>
      </rPr>
      <t>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 xml:space="preserve"> + B.L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>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 xml:space="preserve"> + D.C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]        m</t>
    </r>
    <r>
      <rPr>
        <vertAlign val="subscript"/>
        <sz val="10"/>
        <rFont val=".VnArial"/>
        <family val="2"/>
      </rPr>
      <t>k</t>
    </r>
    <r>
      <rPr>
        <sz val="10"/>
        <rFont val=".VnArial"/>
        <family val="2"/>
      </rPr>
      <t>=</t>
    </r>
  </si>
  <si>
    <r>
      <t>C</t>
    </r>
    <r>
      <rPr>
        <vertAlign val="subscript"/>
        <sz val="10"/>
        <rFont val=".VnArial"/>
        <family val="2"/>
      </rPr>
      <t>tc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</t>
    </r>
  </si>
  <si>
    <r>
      <t>g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>(t/m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2"/>
      </rPr>
      <t>)=</t>
    </r>
  </si>
  <si>
    <r>
      <t>g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>(t/m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2"/>
      </rPr>
      <t>)=</t>
    </r>
  </si>
  <si>
    <r>
      <t>b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</si>
  <si>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sn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</si>
  <si>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tn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</si>
  <si>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dm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</si>
  <si>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th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</si>
  <si>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ng</t>
    </r>
    <r>
      <rPr>
        <sz val="10"/>
        <rFont val=".VnArial"/>
        <family val="2"/>
      </rPr>
      <t>=</t>
    </r>
  </si>
  <si>
    <r>
      <t>G</t>
    </r>
    <r>
      <rPr>
        <vertAlign val="subscript"/>
        <sz val="10"/>
        <rFont val=".VnArial"/>
        <family val="2"/>
      </rPr>
      <t>2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 L.B.h.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(BC)</t>
    </r>
    <r>
      <rPr>
        <sz val="10"/>
        <rFont val=".VnArial"/>
        <family val="2"/>
      </rPr>
      <t xml:space="preserve"> + L.B.h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 xml:space="preserve"> =</t>
    </r>
  </si>
  <si>
    <r>
      <t>®é         h</t>
    </r>
    <r>
      <rPr>
        <vertAlign val="subscript"/>
        <sz val="10"/>
        <rFont val=".VnArial"/>
        <family val="2"/>
      </rPr>
      <t>4</t>
    </r>
    <r>
      <rPr>
        <sz val="10"/>
        <rFont val=".VnCentury Schoolbook"/>
        <family val="2"/>
      </rPr>
      <t>=</t>
    </r>
    <r>
      <rPr>
        <sz val="10"/>
        <rFont val=".VnArial"/>
        <family val="2"/>
      </rPr>
      <t>h</t>
    </r>
    <r>
      <rPr>
        <vertAlign val="subscript"/>
        <sz val="10"/>
        <rFont val=".VnArial"/>
        <family val="2"/>
      </rPr>
      <t>dm</t>
    </r>
    <r>
      <rPr>
        <sz val="10"/>
        <rFont val=".VnCentury Schoolbook"/>
        <family val="2"/>
      </rPr>
      <t>-</t>
    </r>
    <r>
      <rPr>
        <sz val="10"/>
        <rFont val=".VnArial"/>
        <family val="2"/>
      </rPr>
      <t>h</t>
    </r>
    <r>
      <rPr>
        <vertAlign val="subscript"/>
        <sz val="10"/>
        <rFont val=".VnArial"/>
        <family val="2"/>
      </rPr>
      <t>tk</t>
    </r>
    <r>
      <rPr>
        <sz val="10"/>
        <rFont val=".VnArial"/>
        <family val="2"/>
      </rPr>
      <t>=</t>
    </r>
  </si>
  <si>
    <r>
      <t>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 xml:space="preserve">       h</t>
    </r>
    <r>
      <rPr>
        <vertAlign val="subscript"/>
        <sz val="10"/>
        <rFont val=".VnArial"/>
        <family val="2"/>
      </rPr>
      <t>3</t>
    </r>
    <r>
      <rPr>
        <sz val="10"/>
        <rFont val=".VnCentury Schoolbook"/>
        <family val="2"/>
      </rPr>
      <t>=</t>
    </r>
    <r>
      <rPr>
        <sz val="10"/>
        <rFont val=".VnArial"/>
        <family val="2"/>
      </rPr>
      <t>h</t>
    </r>
    <r>
      <rPr>
        <vertAlign val="subscript"/>
        <sz val="10"/>
        <rFont val=".VnArial"/>
        <family val="2"/>
      </rPr>
      <t>dm</t>
    </r>
    <r>
      <rPr>
        <sz val="10"/>
        <rFont val=".VnCentury Schoolbook"/>
        <family val="2"/>
      </rPr>
      <t>-</t>
    </r>
    <r>
      <rPr>
        <sz val="10"/>
        <rFont val=".VnArial"/>
        <family val="2"/>
      </rPr>
      <t>h</t>
    </r>
    <r>
      <rPr>
        <vertAlign val="subscript"/>
        <sz val="10"/>
        <rFont val=".VnArial"/>
        <family val="2"/>
      </rPr>
      <t>tn</t>
    </r>
    <r>
      <rPr>
        <sz val="10"/>
        <rFont val=".VnArial"/>
        <family val="2"/>
      </rPr>
      <t>=</t>
    </r>
  </si>
  <si>
    <r>
      <t>DiÖn tÝch thÐp cäc F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=</t>
    </r>
  </si>
  <si>
    <t>Chu vi tiÕt diÖn cäc U=</t>
  </si>
  <si>
    <r>
      <t>DiÖn tÝch tiÕt diÖn cäc F</t>
    </r>
    <r>
      <rPr>
        <vertAlign val="subscript"/>
        <sz val="10"/>
        <rFont val=".VnArial"/>
        <family val="2"/>
      </rPr>
      <t>b</t>
    </r>
    <r>
      <rPr>
        <sz val="10"/>
        <rFont val=".VnArial"/>
        <family val="2"/>
      </rPr>
      <t>=</t>
    </r>
  </si>
  <si>
    <r>
      <t>g</t>
    </r>
    <r>
      <rPr>
        <vertAlign val="subscript"/>
        <sz val="10"/>
        <rFont val=".VnArial"/>
        <family val="2"/>
      </rPr>
      <t>(BC)</t>
    </r>
  </si>
  <si>
    <r>
      <t>t/m</t>
    </r>
    <r>
      <rPr>
        <vertAlign val="superscript"/>
        <sz val="10"/>
        <rFont val=".VnArial"/>
        <family val="2"/>
      </rPr>
      <t xml:space="preserve">3       </t>
    </r>
    <r>
      <rPr>
        <sz val="10"/>
        <rFont val=".VnArial"/>
        <family val="2"/>
      </rPr>
      <t xml:space="preserve">   cæ mãng: a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</si>
  <si>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>bª t«ng: R</t>
    </r>
    <r>
      <rPr>
        <vertAlign val="subscript"/>
        <sz val="10"/>
        <rFont val=".VnArial"/>
        <family val="2"/>
      </rPr>
      <t>n</t>
    </r>
  </si>
  <si>
    <t xml:space="preserve">thÐp cäc:    </t>
  </si>
  <si>
    <r>
      <t>thÐp:       R</t>
    </r>
    <r>
      <rPr>
        <vertAlign val="subscript"/>
        <sz val="10"/>
        <rFont val=".VnArial"/>
        <family val="2"/>
      </rPr>
      <t>a</t>
    </r>
  </si>
  <si>
    <t xml:space="preserve">tiÕt diÖn:     </t>
  </si>
  <si>
    <t>8-</t>
  </si>
  <si>
    <r>
      <t>dµi:          L</t>
    </r>
    <r>
      <rPr>
        <vertAlign val="subscript"/>
        <sz val="10"/>
        <rFont val=".VnArial"/>
        <family val="2"/>
      </rPr>
      <t>c</t>
    </r>
  </si>
  <si>
    <r>
      <t>m             thÐp ®µi R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=</t>
    </r>
  </si>
  <si>
    <r>
      <t xml:space="preserve"> - §Êt tõ ®¸y cã: 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=</t>
    </r>
  </si>
  <si>
    <r>
      <t xml:space="preserve">      ®µi trë lªn       </t>
    </r>
    <r>
      <rPr>
        <sz val="10"/>
        <rFont val="Symbol"/>
        <family val="1"/>
        <charset val="2"/>
      </rPr>
      <t>j</t>
    </r>
    <r>
      <rPr>
        <vertAlign val="subscript"/>
        <sz val="10"/>
        <rFont val="Symbol"/>
        <family val="1"/>
        <charset val="2"/>
      </rPr>
      <t>o</t>
    </r>
    <r>
      <rPr>
        <sz val="10"/>
        <rFont val=".VnArial"/>
        <family val="2"/>
      </rPr>
      <t>=</t>
    </r>
  </si>
  <si>
    <r>
      <t xml:space="preserve"> - Mãng khèi cã: L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</si>
  <si>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>qui ­íc           B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</si>
  <si>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 xml:space="preserve">qui ­íc          </t>
    </r>
    <r>
      <rPr>
        <sz val="10"/>
        <rFont val="Symbol"/>
        <family val="1"/>
        <charset val="2"/>
      </rPr>
      <t>j</t>
    </r>
    <r>
      <rPr>
        <vertAlign val="superscript"/>
        <sz val="10"/>
        <rFont val=".VnArial"/>
        <family val="2"/>
      </rPr>
      <t>tc</t>
    </r>
    <r>
      <rPr>
        <sz val="10"/>
        <rFont val=".VnArial"/>
        <family val="2"/>
      </rPr>
      <t xml:space="preserve"> =</t>
    </r>
  </si>
  <si>
    <t>m       - Cao ®é mãng:</t>
  </si>
  <si>
    <r>
      <t xml:space="preserve"> - §¸y khèi cã: C</t>
    </r>
    <r>
      <rPr>
        <vertAlign val="subscript"/>
        <sz val="10"/>
        <rFont val=".VnArial"/>
        <family val="2"/>
      </rPr>
      <t>tc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</t>
    </r>
  </si>
  <si>
    <r>
      <t>h</t>
    </r>
    <r>
      <rPr>
        <vertAlign val="subscript"/>
        <sz val="10"/>
        <rFont val=".VnArial"/>
        <family val="2"/>
      </rPr>
      <t>3</t>
    </r>
  </si>
  <si>
    <r>
      <t>KiÓm tra ®iÒu kiÖn: h</t>
    </r>
    <r>
      <rPr>
        <b/>
        <vertAlign val="subscript"/>
        <sz val="10"/>
        <rFont val=".VnArial"/>
        <family val="2"/>
      </rPr>
      <t>3</t>
    </r>
    <r>
      <rPr>
        <b/>
        <sz val="10"/>
        <rFont val=".VnArial"/>
        <family val="2"/>
      </rPr>
      <t>&gt;=H=0,7h</t>
    </r>
    <r>
      <rPr>
        <b/>
        <vertAlign val="subscript"/>
        <sz val="10"/>
        <rFont val=".VnArial"/>
        <family val="2"/>
      </rPr>
      <t>min</t>
    </r>
    <r>
      <rPr>
        <b/>
        <sz val="10"/>
        <rFont val=".VnArial"/>
        <family val="2"/>
      </rPr>
      <t>:</t>
    </r>
  </si>
  <si>
    <r>
      <t>h</t>
    </r>
    <r>
      <rPr>
        <vertAlign val="subscript"/>
        <sz val="10"/>
        <rFont val=".VnArial"/>
        <family val="2"/>
      </rPr>
      <t xml:space="preserve">min </t>
    </r>
    <r>
      <rPr>
        <sz val="10"/>
        <rFont val=".VnArial"/>
        <family val="2"/>
      </rPr>
      <t>= tg(45-</t>
    </r>
    <r>
      <rPr>
        <sz val="10"/>
        <rFont val="Symbol"/>
        <family val="1"/>
        <charset val="2"/>
      </rPr>
      <t>j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/2).[Q</t>
    </r>
    <r>
      <rPr>
        <vertAlign val="subscript"/>
        <sz val="10"/>
        <rFont val=".VnArial"/>
        <family val="2"/>
      </rPr>
      <t>x</t>
    </r>
    <r>
      <rPr>
        <sz val="10"/>
        <rFont val=".VnArial"/>
        <family val="2"/>
      </rPr>
      <t>/(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.B)]</t>
    </r>
    <r>
      <rPr>
        <vertAlign val="superscript"/>
        <sz val="10"/>
        <rFont val=".VnArial"/>
        <family val="2"/>
      </rPr>
      <t xml:space="preserve">0,5 </t>
    </r>
    <r>
      <rPr>
        <sz val="10"/>
        <rFont val=".VnArial"/>
        <family val="2"/>
      </rPr>
      <t>=</t>
    </r>
  </si>
  <si>
    <r>
      <t>F</t>
    </r>
    <r>
      <rPr>
        <vertAlign val="subscript"/>
        <sz val="10"/>
        <rFont val=".VnArial"/>
        <family val="2"/>
      </rPr>
      <t>aktra</t>
    </r>
    <r>
      <rPr>
        <sz val="10"/>
        <rFont val=".VnArial"/>
        <family val="2"/>
      </rPr>
      <t xml:space="preserve"> = M/(0,9.h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.R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)</t>
    </r>
  </si>
  <si>
    <t>t     - §µi cäc:          L=</t>
  </si>
  <si>
    <r>
      <t>M</t>
    </r>
    <r>
      <rPr>
        <vertAlign val="subscript"/>
        <sz val="10"/>
        <rFont val=".VnArial"/>
        <family val="2"/>
      </rPr>
      <t>y</t>
    </r>
  </si>
  <si>
    <r>
      <t>Q</t>
    </r>
    <r>
      <rPr>
        <vertAlign val="subscript"/>
        <sz val="10"/>
        <rFont val=".VnArial"/>
        <family val="2"/>
      </rPr>
      <t>x</t>
    </r>
  </si>
  <si>
    <r>
      <t>g</t>
    </r>
    <r>
      <rPr>
        <vertAlign val="subscript"/>
        <sz val="10"/>
        <rFont val=".VnArial"/>
        <family val="2"/>
      </rPr>
      <t>i</t>
    </r>
    <r>
      <rPr>
        <sz val="8"/>
        <rFont val=".VnArial"/>
        <family val="2"/>
      </rPr>
      <t xml:space="preserve"> (t/m</t>
    </r>
    <r>
      <rPr>
        <vertAlign val="superscript"/>
        <sz val="10"/>
        <rFont val=".VnArial"/>
        <family val="2"/>
      </rPr>
      <t>3</t>
    </r>
    <r>
      <rPr>
        <sz val="8"/>
        <rFont val=".VnArial"/>
        <family val="2"/>
      </rPr>
      <t>)</t>
    </r>
  </si>
  <si>
    <r>
      <t>E</t>
    </r>
    <r>
      <rPr>
        <vertAlign val="subscript"/>
        <sz val="10"/>
        <rFont val=".VnArial"/>
        <family val="2"/>
      </rPr>
      <t>i</t>
    </r>
    <r>
      <rPr>
        <sz val="8"/>
        <rFont val=".VnArial"/>
        <family val="2"/>
      </rPr>
      <t xml:space="preserve"> (t/m</t>
    </r>
    <r>
      <rPr>
        <vertAlign val="superscript"/>
        <sz val="10"/>
        <rFont val=".VnArial"/>
        <family val="2"/>
      </rPr>
      <t>2</t>
    </r>
    <r>
      <rPr>
        <sz val="8"/>
        <rFont val=".VnArial"/>
        <family val="2"/>
      </rPr>
      <t>)</t>
    </r>
  </si>
  <si>
    <t xml:space="preserve">         - §é lón:   [S]=</t>
  </si>
  <si>
    <t>t              chiÒu cao h=</t>
  </si>
  <si>
    <r>
      <t>m</t>
    </r>
    <r>
      <rPr>
        <vertAlign val="subscript"/>
        <sz val="10"/>
        <rFont val=".VnArial"/>
        <family val="2"/>
      </rPr>
      <t>2</t>
    </r>
  </si>
  <si>
    <r>
      <t>t</t>
    </r>
    <r>
      <rPr>
        <sz val="10"/>
        <color indexed="53"/>
        <rFont val=".VnArial"/>
        <family val="2"/>
      </rPr>
      <t xml:space="preserve"> (*)</t>
    </r>
  </si>
  <si>
    <r>
      <t>P=MIN(P</t>
    </r>
    <r>
      <rPr>
        <vertAlign val="subscript"/>
        <sz val="10"/>
        <rFont val=".VnArial"/>
        <family val="2"/>
      </rPr>
      <t>vl</t>
    </r>
    <r>
      <rPr>
        <sz val="10"/>
        <rFont val=".VnArial"/>
        <family val="2"/>
      </rPr>
      <t>,P</t>
    </r>
    <r>
      <rPr>
        <vertAlign val="subscript"/>
        <sz val="10"/>
        <rFont val=".VnArial"/>
        <family val="2"/>
      </rPr>
      <t>k</t>
    </r>
    <r>
      <rPr>
        <sz val="10"/>
        <rFont val=".VnArial"/>
        <family val="2"/>
      </rPr>
      <t>)=</t>
    </r>
  </si>
  <si>
    <r>
      <t>P</t>
    </r>
    <r>
      <rPr>
        <vertAlign val="subscript"/>
        <sz val="10"/>
        <rFont val=".VnArial"/>
        <family val="2"/>
      </rPr>
      <t>vl</t>
    </r>
    <r>
      <rPr>
        <sz val="10"/>
        <rFont val=".VnArial"/>
        <family val="2"/>
      </rPr>
      <t>=m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(m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.R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>.F</t>
    </r>
    <r>
      <rPr>
        <vertAlign val="subscript"/>
        <sz val="10"/>
        <rFont val=".VnArial"/>
        <family val="2"/>
      </rPr>
      <t>a</t>
    </r>
    <r>
      <rPr>
        <sz val="10"/>
        <rFont val=".VnArial"/>
        <family val="2"/>
      </rPr>
      <t xml:space="preserve"> + m</t>
    </r>
    <r>
      <rPr>
        <vertAlign val="subscript"/>
        <sz val="10"/>
        <rFont val=".VnArial"/>
        <family val="2"/>
      </rPr>
      <t>b</t>
    </r>
    <r>
      <rPr>
        <sz val="10"/>
        <rFont val=".VnArial"/>
        <family val="2"/>
      </rPr>
      <t>.R</t>
    </r>
    <r>
      <rPr>
        <vertAlign val="subscript"/>
        <sz val="10"/>
        <rFont val=".VnArial"/>
        <family val="2"/>
      </rPr>
      <t>n</t>
    </r>
    <r>
      <rPr>
        <sz val="10"/>
        <rFont val=".VnArial"/>
        <family val="2"/>
      </rPr>
      <t>.F</t>
    </r>
    <r>
      <rPr>
        <vertAlign val="subscript"/>
        <sz val="10"/>
        <rFont val=".VnArial"/>
        <family val="2"/>
      </rPr>
      <t>b</t>
    </r>
    <r>
      <rPr>
        <sz val="10"/>
        <rFont val=".VnArial"/>
        <family val="2"/>
      </rPr>
      <t>)</t>
    </r>
  </si>
  <si>
    <r>
      <t>[P]=P/k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=</t>
    </r>
  </si>
  <si>
    <t>Søc chÞu t¶i cho phÐp trªn cäc [P]:</t>
  </si>
  <si>
    <t>T¶i träng tÝnh to¸n trªn cäc:</t>
  </si>
  <si>
    <r>
      <t>P</t>
    </r>
    <r>
      <rPr>
        <vertAlign val="subscript"/>
        <sz val="10"/>
        <rFont val=".VnArial"/>
        <family val="2"/>
      </rPr>
      <t>vl</t>
    </r>
    <r>
      <rPr>
        <sz val="10"/>
        <rFont val=".VnArial"/>
        <family val="2"/>
      </rPr>
      <t>=</t>
    </r>
  </si>
  <si>
    <r>
      <t>V× gi¸ trÞ [P] cña c¬ quan thiÕt kÕ cã thÓ ®· kÓ ®Õn k</t>
    </r>
    <r>
      <rPr>
        <vertAlign val="subscript"/>
        <sz val="10"/>
        <rFont val=".VnArial"/>
        <family val="2"/>
      </rPr>
      <t>tc</t>
    </r>
  </si>
  <si>
    <t>(*): NÕu lÊy gi¸ trÞ [P] cña thiÕt kÕ vµo: [P]=-A</t>
  </si>
  <si>
    <t>[P]=</t>
  </si>
  <si>
    <t xml:space="preserve">      víi A lµ gi¸ trÞ cña [P], dÊu ©m ®Ó nhËn biÕt:</t>
  </si>
  <si>
    <r>
      <t>nªn khi so s¸nh víi [P] cña thiÕt kÕ th× cho k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 xml:space="preserve"> =1,</t>
    </r>
  </si>
  <si>
    <r>
      <t xml:space="preserve"> - L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>: c¹nh t­¬ng øng víi L, L</t>
    </r>
    <r>
      <rPr>
        <vertAlign val="subscript"/>
        <sz val="8"/>
        <rFont val=".VnArial"/>
        <family val="2"/>
      </rPr>
      <t>1</t>
    </r>
    <r>
      <rPr>
        <sz val="10"/>
        <rFont val=".VnArial"/>
        <family val="2"/>
      </rPr>
      <t xml:space="preserve">, trôc X. </t>
    </r>
  </si>
  <si>
    <r>
      <t xml:space="preserve"> - M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 xml:space="preserve">: m«men t¹i ®¸y khèi qui ­íc lÊy gÇn ®óng </t>
    </r>
  </si>
  <si>
    <r>
      <t xml:space="preserve"> - Gi¸ trÞ k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 xml:space="preserve"> xem chi tiÕt trong s¸ch, th­êng b»ng 1,4.</t>
    </r>
  </si>
  <si>
    <t xml:space="preserve">           b»ng m«men so víi ®¸y ®µi.</t>
  </si>
  <si>
    <t>®¶m b¶o theo tiªu chuÈn thiÕt kÕ.</t>
  </si>
  <si>
    <r>
      <t xml:space="preserve"> - Theo TCXD: m</t>
    </r>
    <r>
      <rPr>
        <vertAlign val="subscript"/>
        <sz val="10"/>
        <rFont val=".VnArial"/>
        <family val="2"/>
      </rPr>
      <t>k</t>
    </r>
    <r>
      <rPr>
        <sz val="10"/>
        <rFont val=".VnArial"/>
        <family val="2"/>
      </rPr>
      <t>=(m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.m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)</t>
    </r>
    <r>
      <rPr>
        <sz val="10"/>
        <rFont val=".VnArial"/>
        <family val="2"/>
      </rPr>
      <t>/k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, cô thÓ xem MDONRC.</t>
    </r>
  </si>
  <si>
    <r>
      <t>P</t>
    </r>
    <r>
      <rPr>
        <vertAlign val="subscript"/>
        <sz val="10"/>
        <rFont val=".VnArial"/>
        <family val="2"/>
      </rPr>
      <t>max,min</t>
    </r>
    <r>
      <rPr>
        <sz val="10"/>
        <rFont val=".VnArial"/>
        <family val="2"/>
      </rPr>
      <t xml:space="preserve"> = N</t>
    </r>
    <r>
      <rPr>
        <vertAlign val="subscript"/>
        <sz val="10"/>
        <rFont val=".VnArial"/>
        <family val="2"/>
      </rPr>
      <t>tt</t>
    </r>
    <r>
      <rPr>
        <sz val="10"/>
        <rFont val=".VnArial"/>
        <family val="2"/>
      </rPr>
      <t xml:space="preserve">/n </t>
    </r>
    <r>
      <rPr>
        <sz val="10"/>
        <rFont val="Symbol"/>
        <family val="1"/>
        <charset val="2"/>
      </rPr>
      <t>+-</t>
    </r>
    <r>
      <rPr>
        <sz val="10"/>
        <rFont val=".VnArial"/>
        <family val="2"/>
      </rPr>
      <t xml:space="preserve"> M</t>
    </r>
    <r>
      <rPr>
        <vertAlign val="subscript"/>
        <sz val="10"/>
        <rFont val=".VnArial"/>
        <family val="2"/>
      </rPr>
      <t>tt</t>
    </r>
    <r>
      <rPr>
        <sz val="10"/>
        <rFont val=".VnArial"/>
        <family val="2"/>
      </rPr>
      <t>.x</t>
    </r>
    <r>
      <rPr>
        <vertAlign val="superscript"/>
        <sz val="10"/>
        <rFont val=".VnArial"/>
        <family val="2"/>
      </rPr>
      <t>n,k</t>
    </r>
    <r>
      <rPr>
        <vertAlign val="subscript"/>
        <sz val="10"/>
        <rFont val=".VnArial"/>
        <family val="2"/>
      </rPr>
      <t>max</t>
    </r>
    <r>
      <rPr>
        <sz val="10"/>
        <rFont val=".VnArial"/>
        <family val="2"/>
      </rPr>
      <t>/(</t>
    </r>
    <r>
      <rPr>
        <sz val="10"/>
        <rFont val="Symbol"/>
        <family val="1"/>
        <charset val="2"/>
      </rPr>
      <t>S</t>
    </r>
    <r>
      <rPr>
        <sz val="10"/>
        <rFont val=".VnArial"/>
        <family val="2"/>
      </rPr>
      <t>x</t>
    </r>
    <r>
      <rPr>
        <vertAlign val="subscript"/>
        <sz val="10"/>
        <rFont val=".VnArial"/>
        <family val="2"/>
      </rPr>
      <t>i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 (t)</t>
    </r>
  </si>
  <si>
    <r>
      <t>s</t>
    </r>
    <r>
      <rPr>
        <vertAlign val="subscript"/>
        <sz val="10"/>
        <rFont val=".VnArial"/>
        <family val="2"/>
      </rPr>
      <t>max,min</t>
    </r>
    <r>
      <rPr>
        <sz val="10"/>
        <rFont val=".VnArial"/>
        <family val="2"/>
      </rPr>
      <t xml:space="preserve"> = N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/F</t>
    </r>
    <r>
      <rPr>
        <vertAlign val="subscript"/>
        <sz val="10"/>
        <rFont val=".VnArial"/>
        <family val="2"/>
      </rPr>
      <t>q</t>
    </r>
    <r>
      <rPr>
        <sz val="10"/>
        <rFont val=".VnArial"/>
        <family val="2"/>
      </rPr>
      <t xml:space="preserve"> </t>
    </r>
    <r>
      <rPr>
        <sz val="10"/>
        <rFont val="Symbol"/>
        <family val="1"/>
        <charset val="2"/>
      </rPr>
      <t>+-</t>
    </r>
    <r>
      <rPr>
        <sz val="10"/>
        <rFont val=".VnArial"/>
        <family val="2"/>
      </rPr>
      <t xml:space="preserve"> M</t>
    </r>
    <r>
      <rPr>
        <vertAlign val="subscript"/>
        <sz val="8"/>
        <rFont val=".VnArial"/>
        <family val="2"/>
      </rPr>
      <t>tc</t>
    </r>
    <r>
      <rPr>
        <sz val="10"/>
        <rFont val=".VnArial"/>
        <family val="2"/>
      </rPr>
      <t>/W</t>
    </r>
    <r>
      <rPr>
        <vertAlign val="subscript"/>
        <sz val="10"/>
        <rFont val=".VnArial"/>
        <family val="2"/>
      </rPr>
      <t xml:space="preserve">q </t>
    </r>
    <r>
      <rPr>
        <sz val="10"/>
        <rFont val=".VnArial"/>
        <family val="2"/>
      </rPr>
      <t>(t/m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</t>
    </r>
  </si>
  <si>
    <r>
      <t>G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 xml:space="preserve"> =</t>
    </r>
    <r>
      <rPr>
        <sz val="10"/>
        <rFont val="Symbol"/>
        <family val="1"/>
        <charset val="2"/>
      </rPr>
      <t xml:space="preserve"> [</t>
    </r>
    <r>
      <rPr>
        <sz val="10"/>
        <rFont val=".VnArial"/>
        <family val="2"/>
      </rPr>
      <t>(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BC</t>
    </r>
    <r>
      <rPr>
        <sz val="10"/>
        <rFont val=".VnArial"/>
        <family val="2"/>
      </rPr>
      <t>+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)/2].h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2"/>
      </rPr>
      <t>.F</t>
    </r>
    <r>
      <rPr>
        <vertAlign val="subscript"/>
        <sz val="10"/>
        <rFont val=".VnArial"/>
        <family val="2"/>
      </rPr>
      <t>q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</t>
    </r>
  </si>
  <si>
    <r>
      <t xml:space="preserve">            Khèi l­îng t­êng tÇng 1 vµ gi»ng </t>
    </r>
    <r>
      <rPr>
        <sz val="10"/>
        <color indexed="10"/>
        <rFont val=".VnArial"/>
        <family val="2"/>
      </rPr>
      <t>(nÕu cã)</t>
    </r>
    <r>
      <rPr>
        <sz val="10"/>
        <rFont val=".VnArial"/>
        <family val="2"/>
      </rPr>
      <t xml:space="preserve">: </t>
    </r>
  </si>
  <si>
    <t xml:space="preserve">            Khèi l­îng ®µi cäc vµ ®Êt trªn ®µi:</t>
  </si>
  <si>
    <r>
      <t xml:space="preserve">            Tæng t¶i träng t¹i cao tr×nh ®¸y ®µi: N</t>
    </r>
    <r>
      <rPr>
        <vertAlign val="subscript"/>
        <sz val="10"/>
        <rFont val=".VnArial"/>
        <family val="2"/>
      </rPr>
      <t>tt</t>
    </r>
    <r>
      <rPr>
        <sz val="10"/>
        <rFont val=".VnArial"/>
        <family val="2"/>
      </rPr>
      <t>, M</t>
    </r>
    <r>
      <rPr>
        <vertAlign val="subscript"/>
        <sz val="10"/>
        <rFont val=".VnArial"/>
        <family val="2"/>
      </rPr>
      <t>tt</t>
    </r>
    <r>
      <rPr>
        <sz val="10"/>
        <rFont val=".VnArial"/>
        <family val="2"/>
      </rPr>
      <t>:</t>
    </r>
  </si>
  <si>
    <r>
      <t xml:space="preserve">          Khèi l­îng ®Êt tõ cèt 0,00 (h</t>
    </r>
    <r>
      <rPr>
        <sz val="8"/>
        <rFont val=".VnArial"/>
        <family val="2"/>
      </rPr>
      <t>tk</t>
    </r>
    <r>
      <rPr>
        <sz val="10"/>
        <rFont val=".VnArial"/>
        <family val="2"/>
      </rPr>
      <t>) ®Õn ®¸y ®µi (h</t>
    </r>
    <r>
      <rPr>
        <sz val="8"/>
        <rFont val=".VnArial"/>
        <family val="2"/>
      </rPr>
      <t>dm</t>
    </r>
    <r>
      <rPr>
        <sz val="10"/>
        <rFont val=".VnArial"/>
        <family val="2"/>
      </rPr>
      <t>):</t>
    </r>
  </si>
  <si>
    <r>
      <t xml:space="preserve">          Khèi l­îng ®Êt tõ ®¸y ®µi (h</t>
    </r>
    <r>
      <rPr>
        <sz val="8"/>
        <rFont val=".VnArial"/>
        <family val="2"/>
      </rPr>
      <t>dm</t>
    </r>
    <r>
      <rPr>
        <sz val="10"/>
        <rFont val=".VnArial"/>
        <family val="2"/>
      </rPr>
      <t>) ®Õn mòi cäc (®¸y khèi qui ­íc):</t>
    </r>
  </si>
  <si>
    <t xml:space="preserve"> - Gi¶ thiÕt: träng t©m cña c¸c tiÕt diÖn cäc trïng víi träng t©m tiÕt diÖn ®¸y ®µi.</t>
  </si>
  <si>
    <t>§µi cäc:</t>
  </si>
  <si>
    <t>C­êng ®é ®Êt nÒn ®¸y mãng khèi qui ­íc:</t>
  </si>
  <si>
    <t xml:space="preserve"> ChÞu uèn: </t>
  </si>
  <si>
    <t>§é lón cña mãng cäc:</t>
  </si>
  <si>
    <t>c¸t mÞn</t>
  </si>
  <si>
    <t>c¸t th«</t>
  </si>
  <si>
    <t xml:space="preserve"> -</t>
  </si>
  <si>
    <t>§é</t>
  </si>
  <si>
    <t>s©u</t>
  </si>
  <si>
    <t>cña</t>
  </si>
  <si>
    <t xml:space="preserve">mòi </t>
  </si>
  <si>
    <t>cäc</t>
  </si>
  <si>
    <t xml:space="preserve">                                Søc chèng tÝnh to¸n d­íi mòi cäc ®ãng vµ cäc èng</t>
  </si>
  <si>
    <t>B¶ng 2(2)</t>
  </si>
  <si>
    <t>trung</t>
  </si>
  <si>
    <t>b×nh</t>
  </si>
  <si>
    <t>-</t>
  </si>
  <si>
    <t>Søc chèng tÝnh to¸n d­íi mÆt h«ng cña cäc vµ cäc èng</t>
  </si>
  <si>
    <t>®Êt</t>
  </si>
  <si>
    <t>líp</t>
  </si>
  <si>
    <t>®Õn 3m, nªn lÊy tõ møc ®Þa h×nh tù nhiªn, cßn khi g¹t bá vµ ®¾p thªm</t>
  </si>
  <si>
    <t>hoÆc thÊp h¬n møc ®¾p 3m.</t>
  </si>
  <si>
    <t>cña líp ®Êt: khi san nÒn b»ng ph­¬ng ph¸p g¹t bá, ®¾p, hay ®¾p b»ng n­íc dÇy</t>
  </si>
  <si>
    <t>dµy tõ 3 ®Õn 10m th× lÊy tõ cèt qui ­íc, n»m cao h¬n phÇn bÞ g¹t 3m</t>
  </si>
  <si>
    <t xml:space="preserve">    §é s©u h¹ cäc hoÆc cäc èng vµ ®é s©u trung b×nh cña c¸c líp ®Êt trong vïng</t>
  </si>
  <si>
    <t>cã n­íc nªn lÊy cã l­u ý ®Õn kh¶ n¨ng chung bÞ xãi tr«i cña ®¸y dßng ch¶y ë</t>
  </si>
  <si>
    <t>møc lò tÝnh to¸n.</t>
  </si>
  <si>
    <t xml:space="preserve">    Khi thiÕt kÕ c¸c ®­íng v­ît qua c¸c hµo r·nh ®èi víi c¸c cäc ®­îc ®ãng b»ng</t>
  </si>
  <si>
    <t>bóa mµ kh«ng cÇn xãi n­íc hoÆc ph¶i lµm c¸c lç khoan måi, th× chiÒu s©u cña</t>
  </si>
  <si>
    <t>mòi cäc hoÆc cäc èng trong ®Êt nªu ë b¶ng 1(1) nªn lÊy tõ cèt ®Þa h×nh tù nhiªn</t>
  </si>
  <si>
    <t>ë chç c«ng tr×nh mãng.</t>
  </si>
  <si>
    <t>sÖt B cña ®Êt sÐt, ph¶i x¸c ®Þnh c¸c gi¸ trÞ cña R vµ f lÇn l­ît thÐo b¶ng 1(1) vµ 2(2)</t>
  </si>
  <si>
    <t>R tÝnh theo b¶ng 1(1) khi cäc ®­îc h¹ kh«ng dïng c¸ch xãi n­íc hoÆc khoan måi,</t>
  </si>
  <si>
    <t>R nªn t¨ng lªn 100%. NÕu x¸c ®Þnh ®é chÆt cña ®Êt theo c¸c tµi liÖu kh¸c vµ</t>
  </si>
  <si>
    <t>kh«ng cã c¸c sè liÖu xuyªn tÜnh, th× gi¸ trÞ R tÝnh theo b¶ng 1(1) nªn t¨ng lªn</t>
  </si>
  <si>
    <t xml:space="preserve">nÕu c¸c cäc èng ch«n s©u vµo trong ®Êt kh«ng bÞ xãi lë vµ kh«ng bÞ g¹t bá cã </t>
  </si>
  <si>
    <t>®é s©u bÐ h¬n 4m (®èi víi cÇu vµ c«ng tr×nh thuû lîi); 3m (®èi víi nhµ vµ c¸c</t>
  </si>
  <si>
    <t>c«ng tr×nh kh¸c).</t>
  </si>
  <si>
    <t>dïng lµm mãng t­êng ng¨n cña nhµ s¶n xuÊt mét tÇng R cho phÐp t¨ng lªn 20%.</t>
  </si>
  <si>
    <t>nhÊt thiÕt ph¶i l­u ý ®Õn yªu cÇu, tr×nh bµy ë c¸c chó thÝch 2 vµ 3 cña b¶ng 1(1).</t>
  </si>
  <si>
    <t>cäc èng f, c¸c líp ®Êt nªn chia thµnh c¸c líp ®ång nhÊt cã chiÒu dµy kh«ng qu¸ 2m.</t>
  </si>
  <si>
    <t>lªn 30% so víi gi¸ trÞ tr×nh bµy ë b¶ng 2(2).</t>
  </si>
  <si>
    <t>e&lt;0,5 nªn t¨ng lªn 15% so víi trÞ sè cho ë b¶ng 2(2) víi bÊt kú ®é nh·o nµo.</t>
  </si>
  <si>
    <t>(*):</t>
  </si>
  <si>
    <t>B¶ng 3(3)</t>
  </si>
  <si>
    <t>Ph­¬ng ph¸p h¹ cäc ®ãng vµ cäc èng</t>
  </si>
  <si>
    <t>kh«ng lÊy ®Êt ra khái hè cäc</t>
  </si>
  <si>
    <t>HÖ sè ®iÒu kiÖn lµm viÖc cña ®Êt ®­îc kÓ ®Õn mét c¸ch ®éc lËp nhau khi tÝnh søc chÞu t¶i cña cäc treo, ®ãng</t>
  </si>
  <si>
    <t>1. H¹ cäc ®Æc vµ cäc rçng cã bÞt mòi b»ng bóa h¬i (treo), bóa m¸y vµ bóa diezen.</t>
  </si>
  <si>
    <t>2. H¹ b»ng c¸ch ®ãng vµo lç ®· khoan tr­íc (lç måi) víi ®é ch«n s©u cña mòi cäc kh«ng bÐ h¬n 1m d­íi ®¸y hè khoan khi ®­êng kÝnh hè khoan:</t>
  </si>
  <si>
    <t>a/</t>
  </si>
  <si>
    <t>b/</t>
  </si>
  <si>
    <t>c/</t>
  </si>
  <si>
    <t>B»ng c¹nh cäc vu«ng</t>
  </si>
  <si>
    <t>Nhá h¬n c¹nh cäc vu«ng 5cm</t>
  </si>
  <si>
    <t>Nhá h¬n c¹nh cäc vu«ng hoÆc ®­êng kÝnh cäc trßn (®èi víi trô ®­êng d©y t¶i ®iÖn) 15cm</t>
  </si>
  <si>
    <t>3. H¹ cã xãi n­íc trong ®Êt c¸t víi ®iÒu kiÖn ®ãng tiÕp cäc ë mÐt cuèi cïng kh«ng xãi n­íc</t>
  </si>
  <si>
    <t>4. Rung vµ Ðp rung cäc èng vµo:</t>
  </si>
  <si>
    <t>§Êt c¸t, chÆt võa:</t>
  </si>
  <si>
    <t xml:space="preserve"> - C¸t th« vµ th« võa</t>
  </si>
  <si>
    <t xml:space="preserve"> - C¸t mÞn</t>
  </si>
  <si>
    <t xml:space="preserve"> - C¸t bôi</t>
  </si>
  <si>
    <t xml:space="preserve"> - ¸ c¸t</t>
  </si>
  <si>
    <t xml:space="preserve"> - ¸ sÐt</t>
  </si>
  <si>
    <t xml:space="preserve"> - sÐt</t>
  </si>
  <si>
    <r>
      <t>§Êt sÐt bôi cã chØ sè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=0,5:</t>
    </r>
  </si>
  <si>
    <r>
      <t>SÐt bôi cã chØ sè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&lt;0</t>
    </r>
  </si>
  <si>
    <r>
      <t>Vµ cña ®Êt sÐt víi chØ sè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 xml:space="preserve"> b»ng</t>
    </r>
  </si>
  <si>
    <t>Cña ®Êt c¸t, chÆt võa</t>
  </si>
  <si>
    <t xml:space="preserve">                       Cña ®Êt c¸t, chÆt võa</t>
  </si>
  <si>
    <t>5. H¹ b»ng bóa cã kÕt cÊu bÊt kú cäc rçng hë mòi:</t>
  </si>
  <si>
    <t>Khi ®­êng kÝnh lç rçng cña cäc &lt;=40cm</t>
  </si>
  <si>
    <t>Khi ®­êng kÝnh lç rçng cña cäc tõ 0,4 ®Õn 0,8m</t>
  </si>
  <si>
    <t>1m, kh«ng phô thuéc vµo c¸c lo¹i ®Êt nãi trªn</t>
  </si>
  <si>
    <t>1,5m trong ®Êt c¸t vµ ¸ c¸t</t>
  </si>
  <si>
    <t>1,5m trong ®Êt ¸ sÐt vµ sÐt</t>
  </si>
  <si>
    <t>7. H¹ b»ng c¸ch Ðp cäc:</t>
  </si>
  <si>
    <t>d/</t>
  </si>
  <si>
    <t>Trong c¸t chÆt võa, th«, th« võa, nhá</t>
  </si>
  <si>
    <t>Trong c¸t bôi</t>
  </si>
  <si>
    <r>
      <t>Còng nh­ thÕ nh­ng víi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&gt;=0,5</t>
    </r>
  </si>
  <si>
    <r>
      <t>Trong ®Êt sÐt bôi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&lt;0,5</t>
    </r>
  </si>
  <si>
    <r>
      <t>m</t>
    </r>
    <r>
      <rPr>
        <vertAlign val="subscript"/>
        <sz val="10"/>
        <rFont val=".VnArial"/>
        <family val="2"/>
      </rPr>
      <t>R</t>
    </r>
  </si>
  <si>
    <r>
      <t>P</t>
    </r>
    <r>
      <rPr>
        <vertAlign val="subscript"/>
        <sz val="10"/>
        <rFont val=".VnArial"/>
        <family val="2"/>
      </rPr>
      <t>k</t>
    </r>
    <r>
      <rPr>
        <sz val="10"/>
        <rFont val=".VnArial"/>
        <family val="2"/>
      </rPr>
      <t>=m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(m</t>
    </r>
    <r>
      <rPr>
        <vertAlign val="subscript"/>
        <sz val="10"/>
        <rFont val=".VnArial"/>
        <family val="2"/>
      </rPr>
      <t>R</t>
    </r>
    <r>
      <rPr>
        <sz val="10"/>
        <rFont val=".VnArial"/>
        <family val="2"/>
      </rPr>
      <t>.R.F</t>
    </r>
    <r>
      <rPr>
        <vertAlign val="subscript"/>
        <sz val="10"/>
        <rFont val=".VnArial"/>
        <family val="2"/>
      </rPr>
      <t>b</t>
    </r>
    <r>
      <rPr>
        <sz val="10"/>
        <rFont val=".VnArial"/>
        <family val="2"/>
      </rPr>
      <t xml:space="preserve"> + U.</t>
    </r>
    <r>
      <rPr>
        <sz val="10"/>
        <rFont val="Symbol"/>
        <family val="1"/>
        <charset val="2"/>
      </rPr>
      <t>S</t>
    </r>
    <r>
      <rPr>
        <sz val="10"/>
        <rFont val=".VnArial"/>
        <family val="2"/>
      </rPr>
      <t>m</t>
    </r>
    <r>
      <rPr>
        <vertAlign val="subscript"/>
        <sz val="10"/>
        <rFont val=".VnArial"/>
        <family val="2"/>
      </rPr>
      <t>f</t>
    </r>
    <r>
      <rPr>
        <sz val="10"/>
        <rFont val=".VnArial"/>
        <family val="2"/>
      </rPr>
      <t>.f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.l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)</t>
    </r>
  </si>
  <si>
    <t>Søc chèng tÝnh to¸n R vµ f phï hîp nhÊt víi ®Êt cã ®é no n­íc G&gt;=0,8.                      Khi G&lt;0,8 (®Êt rÊt Èm, Ýt Èm): xem s¸ch ®Ó biÕt chi tiÕt.</t>
  </si>
  <si>
    <t>(**):</t>
  </si>
  <si>
    <r>
      <t>¸</t>
    </r>
    <r>
      <rPr>
        <sz val="10"/>
        <rFont val=".VnArial"/>
        <family val="2"/>
      </rPr>
      <t xml:space="preserve"> c¸t ®­îc xÕp vµo lo¹i ®Êt sÐt, v× vËy c¸c gi¸ trÞ R vµ f cã thÓ x¸c ®Þnh tuú thuéc vµo ®é sÖt cña chóng, tuy nhiªn ®é sÖt cña ¸ c¸t th­êng x¸c ®Þnh kh«ng tin cËy l¾m. Søc chÞu t¶i cña cäc trong ¸ c¸t th­êng x¸c ®Þnh theo sè liÖu xuyªn tÜnh.</t>
    </r>
  </si>
  <si>
    <r>
      <t>Søc chÞu t¶i cña cäc trong ¸ c¸t cã trÞ sè dÎo I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2"/>
      </rPr>
      <t xml:space="preserve"> gÇn b»ng 1, thùc tÕ sÏ gièng nh­ cäc ®ãng trong c¸t vµ kh«ng phô thuéc vµo ®é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.</t>
    </r>
  </si>
  <si>
    <r>
      <t>Søc chÞu t¶i cña cäc trong ¸ c¸t cã trÞ sè dÎo I</t>
    </r>
    <r>
      <rPr>
        <vertAlign val="subscript"/>
        <sz val="10"/>
        <rFont val=".VnArial"/>
        <family val="2"/>
      </rPr>
      <t>P</t>
    </r>
    <r>
      <rPr>
        <sz val="10"/>
        <rFont val=".VnArial"/>
        <family val="2"/>
      </rPr>
      <t xml:space="preserve"> gÇn b»ng 7, sÏ gièng nh­ cäc ®ãng trong ¸ sÐt cã cïng ®é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.</t>
    </r>
  </si>
  <si>
    <t>(***):</t>
  </si>
  <si>
    <r>
      <t>ViÖc chèng mòi cäc hoÆc cäc èng lªn ®Êt sÐt cã ®é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&gt;0,6 vµ lªn c¸t rêi th­êng nªn tr¸nh v× søc chÞu t¶i cña cäc sÏ rÊt thÊp. Do ®ã b¶ng 1(1) kh«ng cã R ®èi víi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&gt;0,6 vµ c¸t rêi. §Ó tÝnh to¸n s¬ bé cã thÓ dïng kÕt qu¶ xuyªn.</t>
    </r>
  </si>
  <si>
    <t>(****):</t>
  </si>
  <si>
    <r>
      <t>Víi søc chèng f [b¶ng 2(2)]: ®Êt sÐt cã ®é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&lt;0,2 ®ãng cäc rÊt phøc t¹p vµ khã thùc hiÖn, nÕu cÇn tÝnh to¸n th× tra b¶ng víi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=0,2. Søc chèng f cña ®Êt sÐt cã ®é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&gt;1 rÊt bÐ vµ th­êng trong tÝnh to¸n søc chÞu t¶i cña cäc cã thÓ bá qua.</t>
    </r>
  </si>
  <si>
    <t>§èi víi c¸c ®é s©u trung gian cña cäc, cäc èng vµ c¸c gi¸ trÞ trung gian cña ®é</t>
  </si>
  <si>
    <t>§èi víi ®Êt c¸t chÆt (®é chÆt x¸c ®Þnh theo tµi liÖu xuyªn tÜnh), c¸c gi¸ trÞ cña</t>
  </si>
  <si>
    <t>Cho phÐp sö dông c¸c gi¸ trÞ søc chèng tÝnh to¸n R theo b¶ng 1(1) víi ®iÒu kiÖn</t>
  </si>
  <si>
    <t xml:space="preserve">TrÞ sè tÝnh to¸n R d­íi mòi cäc ®ãng cã tiÕt diÖn 0,15x0,15m hoÆc bÐ h¬n, </t>
  </si>
  <si>
    <t>§èi víi ¸ c¸t, khi chØ sè dÎo &lt;=4 vµ hÖ sè rçng e &lt;=0,8; th× c­êng ®é tÝnh</t>
  </si>
  <si>
    <r>
      <t>x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: kho¶ng c¸ch tõ träng t©m cäc thø i ®Õn träng t©m cña c¸c tiÕt diÖn cäc.</t>
    </r>
  </si>
  <si>
    <r>
      <t xml:space="preserve"> - </t>
    </r>
    <r>
      <rPr>
        <b/>
        <sz val="10"/>
        <rFont val=".VnArial"/>
        <family val="2"/>
      </rPr>
      <t>Mãng cäc ®µi thÊp. §äc kü c¸c h­íng dÉn tr­íc khi sö dông.</t>
    </r>
  </si>
  <si>
    <r>
      <t xml:space="preserve">   víi cèt san nÒn th× coi 2 cèt trïng nhau (cho b»ng nhau h</t>
    </r>
    <r>
      <rPr>
        <vertAlign val="subscript"/>
        <sz val="10"/>
        <rFont val=".VnArial"/>
        <family val="2"/>
      </rPr>
      <t>tn</t>
    </r>
    <r>
      <rPr>
        <sz val="10"/>
        <rFont val=".VnArial"/>
        <family val="2"/>
      </rPr>
      <t>=h</t>
    </r>
    <r>
      <rPr>
        <vertAlign val="subscript"/>
        <sz val="10"/>
        <rFont val=".VnArial"/>
        <family val="2"/>
      </rPr>
      <t>sn</t>
    </r>
    <r>
      <rPr>
        <sz val="10"/>
        <rFont val=".VnArial"/>
        <family val="2"/>
      </rPr>
      <t>).</t>
    </r>
  </si>
  <si>
    <r>
      <t xml:space="preserve"> - C¸c kÕt qu¶ ®­îc tÝnh tõ cèt tù nhiªn CTN h</t>
    </r>
    <r>
      <rPr>
        <vertAlign val="subscript"/>
        <sz val="10"/>
        <rFont val=".VnArial"/>
        <family val="2"/>
      </rPr>
      <t>tn</t>
    </r>
    <r>
      <rPr>
        <sz val="10"/>
        <rFont val=".VnArial"/>
        <family val="2"/>
      </rPr>
      <t xml:space="preserve">, nÕu muèn tÝnh </t>
    </r>
  </si>
  <si>
    <r>
      <t xml:space="preserve">®é      T¾t lón: </t>
    </r>
    <r>
      <rPr>
        <sz val="11"/>
        <rFont val="Symbol"/>
        <family val="1"/>
        <charset val="2"/>
      </rPr>
      <t>s</t>
    </r>
    <r>
      <rPr>
        <vertAlign val="subscript"/>
        <sz val="10"/>
        <rFont val=".VnArial"/>
        <family val="2"/>
      </rPr>
      <t>zi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&lt;=</t>
    </r>
  </si>
  <si>
    <r>
      <t>t/m</t>
    </r>
    <r>
      <rPr>
        <vertAlign val="superscript"/>
        <sz val="10"/>
        <rFont val=".VnArial"/>
        <family val="2"/>
      </rPr>
      <t>3</t>
    </r>
    <r>
      <rPr>
        <sz val="10"/>
        <rFont val=".VnArial"/>
        <family val="2"/>
      </rPr>
      <t xml:space="preserve">       tû lÖ chia y=</t>
    </r>
  </si>
  <si>
    <r>
      <t xml:space="preserve">          s</t>
    </r>
    <r>
      <rPr>
        <vertAlign val="subscript"/>
        <sz val="10"/>
        <rFont val=".VnArial"/>
        <family val="2"/>
      </rPr>
      <t>zi</t>
    </r>
    <r>
      <rPr>
        <sz val="10"/>
        <rFont val=".VnArial"/>
        <family val="2"/>
      </rPr>
      <t>=k</t>
    </r>
    <r>
      <rPr>
        <vertAlign val="subscript"/>
        <sz val="10"/>
        <rFont val=".VnArial"/>
        <family val="2"/>
      </rPr>
      <t>o</t>
    </r>
    <r>
      <rPr>
        <sz val="10"/>
        <rFont val=".VnArial"/>
        <family val="2"/>
      </rPr>
      <t>.</t>
    </r>
    <r>
      <rPr>
        <sz val="11"/>
        <rFont val="Symbol"/>
        <family val="1"/>
        <charset val="2"/>
      </rPr>
      <t>s</t>
    </r>
    <r>
      <rPr>
        <vertAlign val="subscript"/>
        <sz val="10"/>
        <rFont val=".VnArial"/>
        <family val="2"/>
      </rPr>
      <t>gl</t>
    </r>
  </si>
  <si>
    <r>
      <t xml:space="preserve">        R = m</t>
    </r>
    <r>
      <rPr>
        <vertAlign val="subscript"/>
        <sz val="10"/>
        <rFont val=".VnArial"/>
        <family val="2"/>
      </rPr>
      <t>k</t>
    </r>
    <r>
      <rPr>
        <sz val="10"/>
        <rFont val=".VnArial"/>
        <family val="2"/>
      </rPr>
      <t>[A.b</t>
    </r>
    <r>
      <rPr>
        <vertAlign val="subscript"/>
        <sz val="10"/>
        <rFont val=".VnArial"/>
        <family val="2"/>
      </rPr>
      <t>m</t>
    </r>
    <r>
      <rPr>
        <sz val="8"/>
        <rFont val=".VnArial"/>
        <family val="2"/>
      </rPr>
      <t>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 xml:space="preserve"> + B.L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>.</t>
    </r>
    <r>
      <rPr>
        <sz val="10"/>
        <rFont val="Symbol"/>
        <family val="1"/>
        <charset val="2"/>
      </rPr>
      <t>g</t>
    </r>
    <r>
      <rPr>
        <vertAlign val="subscript"/>
        <sz val="10"/>
        <rFont val=".VnArial"/>
        <family val="2"/>
      </rPr>
      <t>tb</t>
    </r>
    <r>
      <rPr>
        <sz val="10"/>
        <rFont val=".VnArial"/>
        <family val="2"/>
      </rPr>
      <t xml:space="preserve"> + D.C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] =</t>
    </r>
  </si>
  <si>
    <r>
      <t xml:space="preserve"> Z: tÝnh tõ CTN h</t>
    </r>
    <r>
      <rPr>
        <vertAlign val="subscript"/>
        <sz val="10"/>
        <color indexed="10"/>
        <rFont val=".VnArial"/>
        <family val="2"/>
      </rPr>
      <t>tn</t>
    </r>
    <r>
      <rPr>
        <sz val="10"/>
        <color indexed="10"/>
        <rFont val=".VnArial"/>
        <family val="2"/>
      </rPr>
      <t>: Z = L</t>
    </r>
    <r>
      <rPr>
        <vertAlign val="subscript"/>
        <sz val="10"/>
        <color indexed="10"/>
        <rFont val=".VnArial"/>
        <family val="2"/>
      </rPr>
      <t>m</t>
    </r>
    <r>
      <rPr>
        <sz val="10"/>
        <color indexed="10"/>
        <rFont val=".VnArial"/>
        <family val="2"/>
      </rPr>
      <t>+z</t>
    </r>
    <r>
      <rPr>
        <vertAlign val="subscript"/>
        <sz val="10"/>
        <color indexed="10"/>
        <rFont val=".VnArial"/>
        <family val="2"/>
      </rPr>
      <t>i</t>
    </r>
    <r>
      <rPr>
        <sz val="8"/>
        <color indexed="10"/>
        <rFont val=".VnArial"/>
        <family val="2"/>
      </rPr>
      <t xml:space="preserve"> </t>
    </r>
    <r>
      <rPr>
        <sz val="10"/>
        <color indexed="10"/>
        <rFont val=".VnArial"/>
        <family val="2"/>
      </rPr>
      <t>= L</t>
    </r>
    <r>
      <rPr>
        <vertAlign val="subscript"/>
        <sz val="10"/>
        <color indexed="10"/>
        <rFont val=".VnArial"/>
        <family val="2"/>
      </rPr>
      <t>m</t>
    </r>
    <r>
      <rPr>
        <sz val="10"/>
        <color indexed="10"/>
        <rFont val=".VnArial"/>
        <family val="2"/>
      </rPr>
      <t>+</t>
    </r>
    <r>
      <rPr>
        <sz val="10"/>
        <color indexed="10"/>
        <rFont val="Symbol"/>
        <family val="1"/>
        <charset val="2"/>
      </rPr>
      <t>S</t>
    </r>
    <r>
      <rPr>
        <sz val="10"/>
        <color indexed="10"/>
        <rFont val=".VnArial"/>
        <family val="2"/>
      </rPr>
      <t>h</t>
    </r>
    <r>
      <rPr>
        <vertAlign val="subscript"/>
        <sz val="10"/>
        <color indexed="10"/>
        <rFont val=".VnArial"/>
        <family val="2"/>
      </rPr>
      <t>i</t>
    </r>
  </si>
  <si>
    <r>
      <t>k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=</t>
    </r>
  </si>
  <si>
    <t>c¸t bôi</t>
  </si>
  <si>
    <t>sái</t>
  </si>
  <si>
    <t>B¶ng 1(1) cña c¸t</t>
  </si>
  <si>
    <t>B¶ng 1(1) cña sÐt</t>
  </si>
  <si>
    <t>Lo¹i ®Êt</t>
  </si>
  <si>
    <t>C¸t</t>
  </si>
  <si>
    <r>
      <t>0,2&lt;=I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&lt;=0,6</t>
    </r>
  </si>
  <si>
    <r>
      <t>0,7&lt;=I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&lt;=1</t>
    </r>
  </si>
  <si>
    <r>
      <t>Gi¸ trÞ f</t>
    </r>
    <r>
      <rPr>
        <vertAlign val="subscript"/>
        <sz val="10"/>
        <rFont val=".VnArial"/>
        <family val="2"/>
      </rPr>
      <t>i</t>
    </r>
  </si>
  <si>
    <t>/§Êt c¸t</t>
  </si>
  <si>
    <r>
      <t>§Êt sÐt (I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)/</t>
    </r>
  </si>
  <si>
    <r>
      <t>6. H¹ b»ng ph­¬ng ph¸p bÊt kú cäc trßn rçng, bÞt mòi, tíi ®é s©u &gt;=10m, sau ®ã cã më réng mòi cäc b»ng c¸ch næ m×n trong ®Êt c¸t chÆt võa vµ trong ®Êt sÐt cã chØ sè ®é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&lt;=0,5, khi ®­êng kÝnh më réng b»ng:</t>
    </r>
  </si>
  <si>
    <r>
      <t>L</t>
    </r>
    <r>
      <rPr>
        <vertAlign val="subscript"/>
        <sz val="10"/>
        <rFont val=".VnArial"/>
        <family val="2"/>
      </rPr>
      <t>m</t>
    </r>
    <r>
      <rPr>
        <sz val="10"/>
        <rFont val=".VnArial"/>
        <family val="2"/>
      </rPr>
      <t>(m)</t>
    </r>
  </si>
  <si>
    <r>
      <t>60% nh­ng kh«ng qu¸ 2000 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.</t>
    </r>
  </si>
  <si>
    <r>
      <t>to¸n R vµ f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 xml:space="preserve"> nªn x¸c ®Þnh nh­ ®èi víi c¸t bôi cã ®é chÆt trung b×nh.</t>
    </r>
  </si>
  <si>
    <t>Chó thÝch b¶ng 2(2):</t>
  </si>
  <si>
    <t>Chó thÝch b¶ng 1(1):</t>
  </si>
  <si>
    <t>Trong b¶ng 1(1) vµ 2(2), ®é s©u cña mòi cäc hoÆc cña cäc èng, vµ ®é s©u trung b×nh</t>
  </si>
  <si>
    <r>
      <t>Cña ®Êt sÐt víi chØ sè sÖt 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 xml:space="preserve"> b»ng</t>
    </r>
  </si>
  <si>
    <r>
      <t>d</t>
    </r>
    <r>
      <rPr>
        <vertAlign val="subscript"/>
        <sz val="10"/>
        <rFont val=".VnArial"/>
        <family val="2"/>
      </rPr>
      <t>i</t>
    </r>
    <r>
      <rPr>
        <sz val="10"/>
        <rFont val=".VnArial"/>
        <family val="2"/>
      </rPr>
      <t>(m)</t>
    </r>
  </si>
  <si>
    <r>
      <t>0&lt;=I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&lt;=0,3</t>
    </r>
  </si>
  <si>
    <r>
      <t>0,4&lt;=I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&lt;=0.6</t>
    </r>
  </si>
  <si>
    <t>c¸t th« võa</t>
  </si>
  <si>
    <t>Gi¸ trÞ R</t>
  </si>
  <si>
    <t>KÕt qu¶ tÝnh</t>
  </si>
  <si>
    <t>KT</t>
  </si>
  <si>
    <t xml:space="preserve">    KT=0: lÊy cét 'KÕt qu¶ tÝnh'.</t>
  </si>
  <si>
    <t>SÐt</t>
  </si>
  <si>
    <t>User</t>
  </si>
  <si>
    <t xml:space="preserve">    KT&lt;&gt;0: lÊy cét 'User'</t>
  </si>
  <si>
    <r>
      <t>L</t>
    </r>
    <r>
      <rPr>
        <vertAlign val="subscript"/>
        <sz val="10"/>
        <rFont val=".VnArial"/>
        <family val="2"/>
      </rPr>
      <t xml:space="preserve">c </t>
    </r>
    <r>
      <rPr>
        <sz val="10"/>
        <rFont val=".VnArial"/>
        <family val="2"/>
      </rPr>
      <t>(chiÒu dµi cäc): nªn bá qua mòi cäc.</t>
    </r>
  </si>
  <si>
    <r>
      <t xml:space="preserve">                            khi h¹ mµ kh«ng lÊy ®Êt ra R (t/m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</t>
    </r>
  </si>
  <si>
    <r>
      <t>f (t/m</t>
    </r>
    <r>
      <rPr>
        <vertAlign val="superscript"/>
        <sz val="10"/>
        <rFont val=".VnArial"/>
        <family val="2"/>
      </rPr>
      <t>2</t>
    </r>
    <r>
      <rPr>
        <sz val="10"/>
        <rFont val=".VnArial"/>
        <family val="2"/>
      </rPr>
      <t>)</t>
    </r>
  </si>
  <si>
    <t>§é s©u (m)</t>
  </si>
  <si>
    <t>Mòi cäc (m)</t>
  </si>
  <si>
    <t>Khi x¸c ®Þnh søc chèng tÝnh to¸n cña ®Êt ë mÆt h«ng cña cäc vµ cäc èng f theo b¶ng 2(2)</t>
  </si>
  <si>
    <t xml:space="preserve">Khi x¸c ®Þnh theo b¶ng 2(2) søc chèng tÝnh to¸n cña ®Êt ë mÆt h«ng cña cäc vµ </t>
  </si>
  <si>
    <t>Søc chèng tÝnh to¸n cña ®Êt c¸t chÆt, ë mÆt h«ng cña cäc vµ cäc èng f, nªn t¨ng</t>
  </si>
  <si>
    <t>C­êng ®é tÝnh to¸n cña ¸ c¸t vµ ¸ sÐt cã hÖ sè rçng e&lt;0,5 vµ sÐt cã hÖ sè rçng</t>
  </si>
  <si>
    <t>Cäc nhåi:</t>
  </si>
  <si>
    <r>
      <t>m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:</t>
    </r>
  </si>
  <si>
    <t>HÖ sè ®iÒu kiÖn lµm viÖc, trong tr­êng hîp tùa lªn ®Êt sÐt phñ,</t>
  </si>
  <si>
    <t>cã ®é no n­íc G&lt;0,9 vµ trªn ®Êt lít hoÆc ®Êt d¹ng lít lÊy =0,8,</t>
  </si>
  <si>
    <t>cßn trong nh÷ng tr­êng hîp cßn l¹i =1.</t>
  </si>
  <si>
    <r>
      <t>m</t>
    </r>
    <r>
      <rPr>
        <vertAlign val="subscript"/>
        <sz val="10"/>
        <rFont val=".VnArial"/>
        <family val="2"/>
      </rPr>
      <t>R</t>
    </r>
    <r>
      <rPr>
        <sz val="10"/>
        <rFont val=".VnArial"/>
        <family val="2"/>
      </rPr>
      <t>:</t>
    </r>
  </si>
  <si>
    <t>HÖ sè ®iÒu kiÖn lµm viÖc cña ®Êt d­íi mòi cäc nhåi, cäc èng,</t>
  </si>
  <si>
    <t xml:space="preserve">cäc trô, lÊy =1 trong mäi tr­êng hîp, trõ khi cäc më réng ®Õ </t>
  </si>
  <si>
    <t>b»ng c¸ch næ m×n, ®èi víi tr­êng hîp nµy lÊy =1,3; Khi thi c«ng</t>
  </si>
  <si>
    <t>cäc cã më réng ®Õ b»ng ph­¬ng ph¸p ®æ bª t«ng d­íi n­íc lÊy =0,9;</t>
  </si>
  <si>
    <t>§èi víi mãng ®­êng d©y t¶i ®iÖn lÊy theo ®iÒu 12 cña 20TCN 21-86.</t>
  </si>
  <si>
    <r>
      <t>m</t>
    </r>
    <r>
      <rPr>
        <vertAlign val="subscript"/>
        <sz val="10"/>
        <rFont val=".VnArial"/>
        <family val="2"/>
      </rPr>
      <t>f</t>
    </r>
    <r>
      <rPr>
        <sz val="10"/>
        <rFont val=".VnArial"/>
        <family val="2"/>
      </rPr>
      <t>:</t>
    </r>
  </si>
  <si>
    <t>D­íi mòi cäc</t>
  </si>
  <si>
    <t>ë mÆt h«ng cäc</t>
  </si>
  <si>
    <t>theo b¶ng 7(5)</t>
  </si>
  <si>
    <t>B¶ng 7(5)</t>
  </si>
  <si>
    <t>Lo¹i cäc vµ ph­¬ng ph¸p h¹ cäc</t>
  </si>
  <si>
    <t>¸ c¸t</t>
  </si>
  <si>
    <t>¸ sÐt</t>
  </si>
  <si>
    <t>sÐt</t>
  </si>
  <si>
    <t>2. Cäc nhåi rung Ðp</t>
  </si>
  <si>
    <t>b/ D­íi n­íc hoÆc dung dÞch sÐt</t>
  </si>
  <si>
    <t>c/ Hçn hîp bª t«ng cøng ®æ vµo cäc cã ®Çm</t>
  </si>
  <si>
    <t xml:space="preserve">    dïi (ph­¬ng ph¸p kh«)</t>
  </si>
  <si>
    <t>4. Cäc èng h¹ b»ng rung cã lÊy ®Êt ra</t>
  </si>
  <si>
    <t>5. Cäc - Trô</t>
  </si>
  <si>
    <t>7. Cäc khoan phun chÕ t¹o cã èng chèng</t>
  </si>
  <si>
    <t xml:space="preserve">    hoÆc b¬m hçn hîp bª t«ng víi ¸p lùc</t>
  </si>
  <si>
    <t xml:space="preserve">    rçng cã mòi</t>
  </si>
  <si>
    <t>1. Cäc nhåi theo ®iÒu 2.6a khi ®ãng èng</t>
  </si>
  <si>
    <t xml:space="preserve">    ®¸y, ®æ bª t«ng:</t>
  </si>
  <si>
    <t>3. Cäc khoan nhåi trong ®ã kÓ c¶ më réng</t>
  </si>
  <si>
    <t>a/ Khi kh«ng cã n­íc trong hè khoan</t>
  </si>
  <si>
    <t xml:space="preserve">    ph.ph¸p kh«) hoÆc khi dïng èng chèng</t>
  </si>
  <si>
    <t xml:space="preserve">    c¸ch dïng lâi rung</t>
  </si>
  <si>
    <t xml:space="preserve">    gi÷a, kh«ng cã n­íc trong lç khoan b»ng</t>
  </si>
  <si>
    <t>6. Cäc khoan nhåi, cäc cã lç trßn rçng ë</t>
  </si>
  <si>
    <t xml:space="preserve">    2-4 atmotphe</t>
  </si>
  <si>
    <r>
      <t xml:space="preserve">  Chó thÝch: HÖ sè m</t>
    </r>
    <r>
      <rPr>
        <vertAlign val="subscript"/>
        <sz val="10"/>
        <rFont val=".VnArial"/>
        <family val="2"/>
      </rPr>
      <t>R</t>
    </r>
    <r>
      <rPr>
        <sz val="10"/>
        <rFont val=".VnArial"/>
        <family val="2"/>
      </rPr>
      <t xml:space="preserve"> vµ m</t>
    </r>
    <r>
      <rPr>
        <vertAlign val="subscript"/>
        <sz val="10"/>
        <rFont val=".VnArial"/>
        <family val="2"/>
      </rPr>
      <t>f</t>
    </r>
    <r>
      <rPr>
        <sz val="10"/>
        <rFont val=".VnArial"/>
        <family val="2"/>
      </rPr>
      <t xml:space="preserve"> ë ®iÓm 4 b¶ng 3(3) ®èi víi ®Êt sÐt cã ®é sÖt 0,5&gt;I</t>
    </r>
    <r>
      <rPr>
        <vertAlign val="subscript"/>
        <sz val="10"/>
        <rFont val=".VnArial"/>
        <family val="2"/>
      </rPr>
      <t>L</t>
    </r>
    <r>
      <rPr>
        <sz val="10"/>
        <rFont val=".VnArial"/>
        <family val="2"/>
      </rPr>
      <t>&gt;0 ®­îc x¸c ®Þnh b»ng c¸ch néi suy.</t>
    </r>
  </si>
  <si>
    <r>
      <t xml:space="preserve">HÖ sè ®iÒu kiÖn lµm viÖc cña ®Êt </t>
    </r>
    <r>
      <rPr>
        <sz val="10"/>
        <rFont val=".VnArial"/>
        <family val="2"/>
      </rPr>
      <t xml:space="preserve"> </t>
    </r>
  </si>
  <si>
    <t>trong</t>
  </si>
  <si>
    <r>
      <t xml:space="preserve"> - </t>
    </r>
    <r>
      <rPr>
        <b/>
        <sz val="10"/>
        <rFont val=".VnArial"/>
        <family val="2"/>
      </rPr>
      <t>Cäc nhåi</t>
    </r>
    <r>
      <rPr>
        <sz val="10"/>
        <rFont val=".VnArial"/>
        <family val="2"/>
      </rPr>
      <t>: cã thÓ t­¬ng tù, chó ý lµ cã kh¸c biÖt víi: m</t>
    </r>
    <r>
      <rPr>
        <vertAlign val="subscript"/>
        <sz val="10"/>
        <rFont val=".VnArial"/>
        <family val="2"/>
      </rPr>
      <t>2</t>
    </r>
    <r>
      <rPr>
        <sz val="10"/>
        <rFont val=".VnArial"/>
        <family val="2"/>
      </rPr>
      <t>, m</t>
    </r>
    <r>
      <rPr>
        <vertAlign val="subscript"/>
        <sz val="10"/>
        <rFont val=".VnArial"/>
        <family val="2"/>
      </rPr>
      <t>R</t>
    </r>
    <r>
      <rPr>
        <sz val="10"/>
        <rFont val=".VnArial"/>
        <family val="2"/>
      </rPr>
      <t>, m</t>
    </r>
    <r>
      <rPr>
        <vertAlign val="subscript"/>
        <sz val="10"/>
        <rFont val=".VnArial"/>
        <family val="2"/>
      </rPr>
      <t>f</t>
    </r>
    <r>
      <rPr>
        <sz val="10"/>
        <rFont val=".VnArial"/>
        <family val="2"/>
      </rPr>
      <t>, xem B¶ng tra.</t>
    </r>
  </si>
  <si>
    <r>
      <t>l</t>
    </r>
    <r>
      <rPr>
        <vertAlign val="subscript"/>
        <sz val="10"/>
        <color indexed="8"/>
        <rFont val=".VnArial"/>
        <family val="2"/>
      </rPr>
      <t>1</t>
    </r>
    <r>
      <rPr>
        <sz val="10"/>
        <color indexed="8"/>
        <rFont val=".VnArial"/>
        <family val="2"/>
      </rPr>
      <t xml:space="preserve"> = chiÒu dµy líp 1, ®iÒu kiÖn l</t>
    </r>
    <r>
      <rPr>
        <vertAlign val="subscript"/>
        <sz val="10"/>
        <color indexed="8"/>
        <rFont val=".VnArial"/>
        <family val="2"/>
      </rPr>
      <t>1</t>
    </r>
    <r>
      <rPr>
        <sz val="10"/>
        <color indexed="8"/>
        <rFont val=".VnArial"/>
        <family val="2"/>
      </rPr>
      <t xml:space="preserve"> &gt; h</t>
    </r>
    <r>
      <rPr>
        <vertAlign val="subscript"/>
        <sz val="10"/>
        <color indexed="8"/>
        <rFont val=".VnArial"/>
        <family val="2"/>
      </rPr>
      <t xml:space="preserve">3 </t>
    </r>
    <r>
      <rPr>
        <sz val="10"/>
        <color indexed="8"/>
        <rFont val=".VnArial"/>
        <family val="2"/>
      </rPr>
      <t>= h</t>
    </r>
    <r>
      <rPr>
        <vertAlign val="subscript"/>
        <sz val="10"/>
        <color indexed="8"/>
        <rFont val=".VnArial"/>
        <family val="2"/>
      </rPr>
      <t>dm</t>
    </r>
    <r>
      <rPr>
        <sz val="10"/>
        <color indexed="8"/>
        <rFont val=".VnArial"/>
        <family val="2"/>
      </rPr>
      <t>-h</t>
    </r>
    <r>
      <rPr>
        <vertAlign val="subscript"/>
        <sz val="10"/>
        <color indexed="8"/>
        <rFont val=".VnArial"/>
        <family val="2"/>
      </rPr>
      <t>tn</t>
    </r>
  </si>
  <si>
    <r>
      <t xml:space="preserve">    T¶i träng ®¸y khèi qui ­íc: N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, M</t>
    </r>
    <r>
      <rPr>
        <vertAlign val="subscript"/>
        <sz val="10"/>
        <rFont val=".VnArial"/>
        <family val="2"/>
      </rPr>
      <t>tc</t>
    </r>
    <r>
      <rPr>
        <sz val="10"/>
        <rFont val=".VnArial"/>
        <family val="2"/>
      </rPr>
      <t>:     n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=</t>
    </r>
  </si>
  <si>
    <r>
      <t>N</t>
    </r>
    <r>
      <rPr>
        <vertAlign val="subscript"/>
        <sz val="10"/>
        <rFont val=".VnArial"/>
        <family val="2"/>
      </rPr>
      <t>tc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 N/n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+G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+G</t>
    </r>
    <r>
      <rPr>
        <vertAlign val="subscript"/>
        <sz val="10"/>
        <rFont val=".VnArial"/>
        <family val="2"/>
      </rPr>
      <t>3</t>
    </r>
    <r>
      <rPr>
        <sz val="10"/>
        <rFont val=".VnArial"/>
        <family val="2"/>
      </rPr>
      <t>+G</t>
    </r>
    <r>
      <rPr>
        <vertAlign val="subscript"/>
        <sz val="10"/>
        <rFont val=".VnArial"/>
        <family val="2"/>
      </rPr>
      <t>4</t>
    </r>
    <r>
      <rPr>
        <sz val="10"/>
        <rFont val=".VnArial"/>
        <family val="2"/>
      </rPr>
      <t xml:space="preserve"> =</t>
    </r>
  </si>
  <si>
    <r>
      <t>M</t>
    </r>
    <r>
      <rPr>
        <vertAlign val="subscript"/>
        <sz val="10"/>
        <rFont val=".VnArial"/>
        <family val="2"/>
      </rPr>
      <t>tc</t>
    </r>
    <r>
      <rPr>
        <sz val="8"/>
        <rFont val=".VnArial"/>
        <family val="2"/>
      </rPr>
      <t xml:space="preserve"> </t>
    </r>
    <r>
      <rPr>
        <sz val="10"/>
        <rFont val=".VnArial"/>
        <family val="2"/>
      </rPr>
      <t>= M</t>
    </r>
    <r>
      <rPr>
        <vertAlign val="subscript"/>
        <sz val="10"/>
        <rFont val=".VnArial"/>
        <family val="2"/>
      </rPr>
      <t>y</t>
    </r>
    <r>
      <rPr>
        <sz val="10"/>
        <rFont val=".VnArial"/>
        <family val="2"/>
      </rPr>
      <t>/n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>+ Q</t>
    </r>
    <r>
      <rPr>
        <vertAlign val="subscript"/>
        <sz val="10"/>
        <rFont val=".VnArial"/>
        <family val="2"/>
      </rPr>
      <t>x</t>
    </r>
    <r>
      <rPr>
        <sz val="10"/>
        <rFont val=".VnArial"/>
        <family val="2"/>
      </rPr>
      <t>.h/n</t>
    </r>
    <r>
      <rPr>
        <vertAlign val="subscript"/>
        <sz val="10"/>
        <rFont val=".VnArial"/>
        <family val="2"/>
      </rPr>
      <t>1</t>
    </r>
    <r>
      <rPr>
        <sz val="10"/>
        <rFont val=".VnArial"/>
        <family val="2"/>
      </rPr>
      <t xml:space="preserve"> =</t>
    </r>
  </si>
  <si>
    <r>
      <t xml:space="preserve"> - B¶n </t>
    </r>
    <r>
      <rPr>
        <b/>
        <sz val="10"/>
        <color indexed="10"/>
        <rFont val=".VnArialH"/>
        <family val="2"/>
      </rPr>
      <t>anfa-2</t>
    </r>
    <r>
      <rPr>
        <b/>
        <sz val="10"/>
        <color indexed="10"/>
        <rFont val=".VnArial"/>
        <family val="2"/>
      </rPr>
      <t xml:space="preserve"> nµy thay thÕ cho b¶n </t>
    </r>
    <r>
      <rPr>
        <b/>
        <sz val="10"/>
        <color indexed="10"/>
        <rFont val=".VnArialH"/>
        <family val="2"/>
      </rPr>
      <t>anfa</t>
    </r>
    <r>
      <rPr>
        <b/>
        <sz val="10"/>
        <color indexed="10"/>
        <rFont val=".VnArial"/>
        <family val="2"/>
      </rPr>
      <t xml:space="preserve"> tr­íc ®ã.</t>
    </r>
  </si>
  <si>
    <t>(Kh«ng ®­îc nhá h¬n hoÆc b»ng)</t>
  </si>
  <si>
    <t>kiÓm tra mãng cäc BTCT</t>
  </si>
  <si>
    <t>Nhµ ký tóc x¸ K1</t>
  </si>
  <si>
    <t>TTr­êng qu¶n lý kinh tÕ c«ng nghiÖp</t>
  </si>
  <si>
    <t>Giai Ph¹m - Yªn Mü - H­ng Yªn</t>
  </si>
  <si>
    <t>Mãng cäc §C-4, HK K13</t>
  </si>
  <si>
    <t>KIỂM TRA MÓNG CỌC BTCT</t>
  </si>
  <si>
    <t xml:space="preserve">Designer : Mai Đức Thắng          Gmail : Maithangspkt@gmail.com           Phone : 0163.246.1168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</si>
</sst>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"/>
    <numFmt numFmtId="166" formatCode="0.000"/>
    <numFmt numFmtId="167" formatCode="0.000E+00"/>
    <numFmt numFmtId="168" formatCode="0.00000000000000"/>
  </numFmts>
  <fonts count="50" x14ac:knownFonts="1">
    <font>
      <sz val="10"/>
      <name val=".VnArial"/>
      <family val="2"/>
    </font>
    <font>
      <sz val="10"/>
      <name val=".VnCentury Schoolbook"/>
      <family val="2"/>
    </font>
    <font>
      <sz val="10"/>
      <name val="Symbol"/>
      <family val="1"/>
      <charset val="2"/>
    </font>
    <font>
      <sz val="10"/>
      <name val=".VnArial"/>
      <family val="2"/>
    </font>
    <font>
      <b/>
      <sz val="10"/>
      <color indexed="12"/>
      <name val=".VnArial"/>
      <family val="2"/>
    </font>
    <font>
      <sz val="10"/>
      <name val=".VnArial"/>
      <family val="2"/>
    </font>
    <font>
      <sz val="10"/>
      <color indexed="12"/>
      <name val=".VnArial"/>
      <family val="2"/>
    </font>
    <font>
      <sz val="10"/>
      <name val=".VnArial"/>
      <family val="2"/>
    </font>
    <font>
      <sz val="10"/>
      <color indexed="10"/>
      <name val=".VnArial"/>
      <family val="2"/>
    </font>
    <font>
      <sz val="8"/>
      <name val=".VnArial"/>
      <family val="2"/>
    </font>
    <font>
      <i/>
      <sz val="10"/>
      <color indexed="12"/>
      <name val=".VnArial"/>
      <family val="2"/>
    </font>
    <font>
      <vertAlign val="subscript"/>
      <sz val="10"/>
      <name val=".VnArial"/>
      <family val="2"/>
    </font>
    <font>
      <vertAlign val="superscript"/>
      <sz val="10"/>
      <name val=".VnArial"/>
      <family val="2"/>
    </font>
    <font>
      <b/>
      <sz val="9"/>
      <color indexed="10"/>
      <name val=".VnArial"/>
      <family val="2"/>
    </font>
    <font>
      <sz val="12"/>
      <name val="Symbol"/>
      <family val="1"/>
      <charset val="2"/>
    </font>
    <font>
      <sz val="10"/>
      <name val=".VnArialH"/>
      <family val="2"/>
    </font>
    <font>
      <sz val="11"/>
      <name val="Symbol"/>
      <family val="1"/>
      <charset val="2"/>
    </font>
    <font>
      <vertAlign val="subscript"/>
      <sz val="8"/>
      <name val=".VnArial"/>
      <family val="2"/>
    </font>
    <font>
      <sz val="9"/>
      <name val=".VnArial"/>
      <family val="2"/>
    </font>
    <font>
      <b/>
      <sz val="10"/>
      <color indexed="10"/>
      <name val=".VnArial"/>
      <family val="2"/>
    </font>
    <font>
      <sz val="8"/>
      <color indexed="10"/>
      <name val=".VnArial"/>
      <family val="2"/>
    </font>
    <font>
      <sz val="10"/>
      <color indexed="10"/>
      <name val="Symbol"/>
      <family val="1"/>
      <charset val="2"/>
    </font>
    <font>
      <sz val="9"/>
      <color indexed="10"/>
      <name val=".VnArial"/>
      <family val="2"/>
    </font>
    <font>
      <vertAlign val="subscript"/>
      <sz val="9"/>
      <color indexed="10"/>
      <name val=".VnArial"/>
      <family val="2"/>
    </font>
    <font>
      <vertAlign val="subscript"/>
      <sz val="9"/>
      <name val=".VnArial"/>
      <family val="2"/>
    </font>
    <font>
      <sz val="9"/>
      <name val="Symbol"/>
      <family val="1"/>
      <charset val="2"/>
    </font>
    <font>
      <vertAlign val="superscript"/>
      <sz val="8"/>
      <name val=".VnArial"/>
      <family val="2"/>
    </font>
    <font>
      <sz val="10"/>
      <name val=".VnTime"/>
      <family val="2"/>
    </font>
    <font>
      <b/>
      <u/>
      <sz val="10"/>
      <name val=".VnArial"/>
      <family val="2"/>
    </font>
    <font>
      <sz val="10"/>
      <color indexed="12"/>
      <name val=".VnTime"/>
      <family val="2"/>
    </font>
    <font>
      <i/>
      <sz val="10"/>
      <name val=".VnArial"/>
      <family val="2"/>
    </font>
    <font>
      <sz val="10"/>
      <color indexed="53"/>
      <name val=".VnArial"/>
      <family val="2"/>
    </font>
    <font>
      <sz val="10"/>
      <color indexed="53"/>
      <name val=".VnArialH"/>
      <family val="2"/>
    </font>
    <font>
      <u/>
      <sz val="10"/>
      <name val=".VnArial"/>
      <family val="2"/>
    </font>
    <font>
      <sz val="10"/>
      <name val=".VnArial"/>
      <family val="2"/>
    </font>
    <font>
      <b/>
      <sz val="10"/>
      <name val=".VnArial"/>
      <family val="2"/>
    </font>
    <font>
      <sz val="7"/>
      <name val=".VnArial"/>
      <family val="2"/>
    </font>
    <font>
      <sz val="10"/>
      <color indexed="8"/>
      <name val=".VnArial"/>
      <family val="2"/>
    </font>
    <font>
      <vertAlign val="subscript"/>
      <sz val="10"/>
      <color indexed="8"/>
      <name val=".VnArial"/>
      <family val="2"/>
    </font>
    <font>
      <vertAlign val="subscript"/>
      <sz val="10"/>
      <color indexed="10"/>
      <name val=".VnArial"/>
      <family val="2"/>
    </font>
    <font>
      <vertAlign val="subscript"/>
      <sz val="10"/>
      <name val="Symbol"/>
      <family val="1"/>
      <charset val="2"/>
    </font>
    <font>
      <b/>
      <vertAlign val="subscript"/>
      <sz val="10"/>
      <name val=".VnArial"/>
      <family val="2"/>
    </font>
    <font>
      <b/>
      <sz val="10"/>
      <name val=".VnArialH"/>
      <family val="2"/>
    </font>
    <font>
      <sz val="11"/>
      <name val=".VnArialH"/>
      <family val="2"/>
    </font>
    <font>
      <i/>
      <sz val="8"/>
      <color indexed="10"/>
      <name val=".VnArialH"/>
      <family val="2"/>
    </font>
    <font>
      <b/>
      <sz val="10"/>
      <color indexed="10"/>
      <name val=".VnArialH"/>
      <family val="2"/>
    </font>
    <font>
      <sz val="10"/>
      <name val="Times New Roman"/>
      <family val="1"/>
    </font>
    <font>
      <b/>
      <sz val="12"/>
      <color rgb="FF0000FF"/>
      <name val="Times New Roman"/>
      <family val="1"/>
    </font>
    <font>
      <b/>
      <sz val="12"/>
      <color theme="1"/>
      <name val=".VnArialH"/>
      <family val="2"/>
    </font>
    <font>
      <b/>
      <sz val="11"/>
      <color theme="1"/>
      <name val=".VnArialH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166" fontId="0" fillId="0" borderId="0" xfId="0" applyNumberFormat="1" applyAlignment="1">
      <alignment horizontal="left" vertical="center"/>
    </xf>
    <xf numFmtId="16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right" vertical="center"/>
    </xf>
    <xf numFmtId="166" fontId="6" fillId="0" borderId="0" xfId="0" applyNumberFormat="1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0" borderId="0" xfId="0" applyNumberFormat="1" applyAlignment="1" applyProtection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66" fontId="3" fillId="0" borderId="0" xfId="0" applyNumberFormat="1" applyFont="1" applyAlignment="1" applyProtection="1">
      <alignment horizontal="left" vertical="center"/>
      <protection hidden="1"/>
    </xf>
    <xf numFmtId="166" fontId="14" fillId="0" borderId="0" xfId="0" applyNumberFormat="1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6" fontId="3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66" fontId="6" fillId="0" borderId="2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right" vertical="center"/>
      <protection locked="0"/>
    </xf>
    <xf numFmtId="166" fontId="3" fillId="0" borderId="2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hidden="1"/>
    </xf>
    <xf numFmtId="166" fontId="3" fillId="0" borderId="4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  <protection hidden="1"/>
    </xf>
    <xf numFmtId="166" fontId="3" fillId="0" borderId="0" xfId="0" applyNumberFormat="1" applyFont="1" applyBorder="1" applyAlignment="1" applyProtection="1">
      <alignment horizontal="right" vertical="center"/>
    </xf>
    <xf numFmtId="166" fontId="3" fillId="0" borderId="7" xfId="0" applyNumberFormat="1" applyFont="1" applyBorder="1" applyAlignment="1" applyProtection="1">
      <alignment horizontal="right" vertical="center"/>
    </xf>
    <xf numFmtId="166" fontId="8" fillId="0" borderId="0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166" fontId="8" fillId="0" borderId="10" xfId="0" applyNumberFormat="1" applyFont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  <protection hidden="1"/>
    </xf>
    <xf numFmtId="166" fontId="3" fillId="0" borderId="1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  <protection hidden="1"/>
    </xf>
    <xf numFmtId="166" fontId="3" fillId="0" borderId="10" xfId="0" applyNumberFormat="1" applyFont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  <protection hidden="1"/>
    </xf>
    <xf numFmtId="166" fontId="3" fillId="0" borderId="2" xfId="0" applyNumberFormat="1" applyFont="1" applyFill="1" applyBorder="1" applyAlignment="1" applyProtection="1">
      <alignment horizontal="center" vertical="center"/>
      <protection hidden="1"/>
    </xf>
    <xf numFmtId="166" fontId="3" fillId="0" borderId="12" xfId="0" applyNumberFormat="1" applyFont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8" fillId="0" borderId="0" xfId="0" applyNumberFormat="1" applyFont="1" applyAlignment="1" applyProtection="1">
      <alignment horizontal="center" vertical="center"/>
    </xf>
    <xf numFmtId="168" fontId="6" fillId="0" borderId="0" xfId="0" applyNumberFormat="1" applyFont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13" xfId="0" applyNumberFormat="1" applyFont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right" vertical="center"/>
      <protection locked="0"/>
    </xf>
    <xf numFmtId="166" fontId="19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horizontal="right" vertical="center"/>
    </xf>
    <xf numFmtId="166" fontId="3" fillId="0" borderId="10" xfId="0" applyNumberFormat="1" applyFont="1" applyBorder="1" applyAlignment="1" applyProtection="1">
      <alignment horizontal="right" vertical="center"/>
    </xf>
    <xf numFmtId="166" fontId="3" fillId="0" borderId="1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166" fontId="6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6" fontId="6" fillId="0" borderId="2" xfId="0" applyNumberFormat="1" applyFont="1" applyBorder="1" applyAlignment="1" applyProtection="1">
      <alignment vertical="center"/>
      <protection locked="0"/>
    </xf>
    <xf numFmtId="166" fontId="7" fillId="0" borderId="2" xfId="0" applyNumberFormat="1" applyFont="1" applyBorder="1" applyAlignment="1">
      <alignment vertical="center"/>
    </xf>
    <xf numFmtId="166" fontId="6" fillId="0" borderId="14" xfId="0" applyNumberFormat="1" applyFont="1" applyBorder="1" applyAlignment="1" applyProtection="1">
      <alignment vertical="center"/>
      <protection locked="0"/>
    </xf>
    <xf numFmtId="166" fontId="7" fillId="0" borderId="14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6" fontId="6" fillId="0" borderId="4" xfId="0" applyNumberFormat="1" applyFont="1" applyBorder="1" applyAlignment="1" applyProtection="1">
      <alignment vertical="center"/>
      <protection locked="0"/>
    </xf>
    <xf numFmtId="166" fontId="3" fillId="0" borderId="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0" fillId="0" borderId="0" xfId="0" applyNumberForma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0" fillId="0" borderId="0" xfId="0" applyNumberFormat="1" applyAlignment="1" applyProtection="1">
      <alignment vertical="center"/>
    </xf>
    <xf numFmtId="0" fontId="0" fillId="0" borderId="8" xfId="0" applyBorder="1" applyAlignment="1">
      <alignment vertical="center"/>
    </xf>
    <xf numFmtId="0" fontId="8" fillId="0" borderId="0" xfId="0" applyFont="1" applyAlignment="1" applyProtection="1">
      <alignment horizontal="left" vertical="center"/>
      <protection hidden="1"/>
    </xf>
    <xf numFmtId="14" fontId="9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 applyProtection="1">
      <alignment horizontal="right" vertical="center"/>
      <protection hidden="1"/>
    </xf>
    <xf numFmtId="0" fontId="18" fillId="0" borderId="0" xfId="0" applyFont="1" applyAlignment="1">
      <alignment vertical="center"/>
    </xf>
    <xf numFmtId="166" fontId="3" fillId="0" borderId="0" xfId="0" applyNumberFormat="1" applyFont="1" applyAlignment="1" applyProtection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Border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29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16" xfId="0" applyNumberFormat="1" applyFont="1" applyBorder="1" applyAlignment="1" applyProtection="1">
      <alignment horizontal="center" vertical="center"/>
    </xf>
    <xf numFmtId="166" fontId="3" fillId="0" borderId="1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right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2" fontId="28" fillId="0" borderId="0" xfId="0" applyNumberFormat="1" applyFont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164" fontId="6" fillId="0" borderId="0" xfId="0" applyNumberFormat="1" applyFont="1" applyProtection="1">
      <alignment vertical="center"/>
      <protection locked="0"/>
    </xf>
    <xf numFmtId="166" fontId="6" fillId="0" borderId="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Alignment="1">
      <alignment vertical="center"/>
    </xf>
    <xf numFmtId="166" fontId="2" fillId="0" borderId="0" xfId="0" applyNumberFormat="1" applyFont="1" applyBorder="1" applyAlignment="1" applyProtection="1">
      <alignment horizontal="left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6" fontId="14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6" fontId="3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6" fontId="3" fillId="0" borderId="0" xfId="0" applyNumberFormat="1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>
      <alignment vertical="center"/>
    </xf>
    <xf numFmtId="0" fontId="34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6" fontId="1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166" fontId="0" fillId="0" borderId="0" xfId="0" applyNumberForma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166" fontId="33" fillId="0" borderId="0" xfId="0" applyNumberFormat="1" applyFont="1" applyAlignment="1" applyProtection="1"/>
    <xf numFmtId="0" fontId="34" fillId="0" borderId="0" xfId="0" applyFont="1" applyAlignment="1" applyProtection="1"/>
    <xf numFmtId="0" fontId="35" fillId="0" borderId="0" xfId="0" applyFont="1" applyBorder="1" applyAlignment="1">
      <alignment horizontal="center" vertical="center"/>
    </xf>
    <xf numFmtId="0" fontId="3" fillId="0" borderId="7" xfId="0" applyFont="1" applyBorder="1" applyAlignment="1" applyProtection="1"/>
    <xf numFmtId="0" fontId="3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7" xfId="0" applyBorder="1" applyAlignment="1">
      <alignment horizontal="right" vertical="center"/>
    </xf>
    <xf numFmtId="0" fontId="8" fillId="0" borderId="0" xfId="0" applyFont="1" applyBorder="1" applyAlignment="1">
      <alignment horizontal="left" vertical="center" textRotation="90" wrapText="1"/>
    </xf>
    <xf numFmtId="0" fontId="8" fillId="0" borderId="0" xfId="0" applyFont="1" applyBorder="1" applyAlignment="1">
      <alignment horizontal="right" vertical="center" textRotation="90" wrapText="1"/>
    </xf>
    <xf numFmtId="0" fontId="0" fillId="0" borderId="7" xfId="0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 vertical="center" textRotation="90"/>
    </xf>
    <xf numFmtId="0" fontId="8" fillId="0" borderId="0" xfId="0" applyFont="1" applyBorder="1" applyAlignment="1">
      <alignment horizontal="right" textRotation="90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right" vertical="center" textRotation="90" wrapText="1"/>
    </xf>
    <xf numFmtId="0" fontId="3" fillId="0" borderId="1" xfId="0" applyFont="1" applyBorder="1" applyAlignment="1">
      <alignment horizontal="right" vertical="center" textRotation="90" wrapText="1"/>
    </xf>
    <xf numFmtId="0" fontId="9" fillId="0" borderId="0" xfId="0" applyFont="1" applyBorder="1" applyAlignment="1">
      <alignment horizontal="right" vertical="center" textRotation="90" wrapText="1"/>
    </xf>
    <xf numFmtId="0" fontId="35" fillId="0" borderId="0" xfId="0" applyFont="1" applyAlignment="1">
      <alignment vertical="center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166" fontId="8" fillId="0" borderId="0" xfId="0" applyNumberFormat="1" applyFont="1" applyAlignment="1" applyProtection="1">
      <alignment horizontal="right" vertical="center"/>
      <protection hidden="1"/>
    </xf>
    <xf numFmtId="0" fontId="0" fillId="0" borderId="16" xfId="0" applyBorder="1" applyAlignment="1">
      <alignment vertical="center"/>
    </xf>
    <xf numFmtId="166" fontId="3" fillId="0" borderId="7" xfId="0" applyNumberFormat="1" applyFont="1" applyBorder="1" applyAlignment="1" applyProtection="1"/>
    <xf numFmtId="0" fontId="3" fillId="0" borderId="0" xfId="0" applyFont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166" fontId="3" fillId="0" borderId="18" xfId="0" applyNumberFormat="1" applyFont="1" applyBorder="1" applyAlignment="1" applyProtection="1">
      <alignment horizontal="center" vertical="center"/>
      <protection hidden="1"/>
    </xf>
    <xf numFmtId="165" fontId="3" fillId="0" borderId="18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4" fillId="0" borderId="1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4" fillId="0" borderId="12" xfId="0" applyFont="1" applyBorder="1" applyAlignment="1" applyProtection="1">
      <alignment vertical="center"/>
    </xf>
    <xf numFmtId="0" fontId="18" fillId="0" borderId="19" xfId="0" applyFont="1" applyBorder="1" applyAlignment="1" applyProtection="1">
      <alignment horizontal="center" vertical="center"/>
    </xf>
    <xf numFmtId="166" fontId="3" fillId="0" borderId="13" xfId="0" applyNumberFormat="1" applyFont="1" applyBorder="1" applyAlignment="1" applyProtection="1">
      <alignment horizontal="left" vertical="center"/>
    </xf>
    <xf numFmtId="0" fontId="34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6" fontId="3" fillId="0" borderId="0" xfId="0" applyNumberFormat="1" applyFont="1" applyBorder="1" applyAlignment="1" applyProtection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6" fontId="0" fillId="0" borderId="25" xfId="0" applyNumberForma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6" fillId="0" borderId="17" xfId="0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right" vertical="top"/>
    </xf>
    <xf numFmtId="166" fontId="0" fillId="0" borderId="25" xfId="0" applyNumberForma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166" fontId="0" fillId="0" borderId="0" xfId="0" applyNumberFormat="1" applyBorder="1" applyAlignment="1">
      <alignment horizontal="center" vertical="top"/>
    </xf>
    <xf numFmtId="166" fontId="0" fillId="0" borderId="7" xfId="0" applyNumberFormat="1" applyBorder="1" applyAlignment="1">
      <alignment horizontal="center" vertical="center"/>
    </xf>
    <xf numFmtId="166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17" xfId="0" applyBorder="1" applyAlignment="1">
      <alignment horizontal="right" vertical="top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6" fontId="0" fillId="0" borderId="11" xfId="0" applyNumberFormat="1" applyBorder="1" applyAlignment="1" applyProtection="1">
      <alignment vertical="center"/>
    </xf>
    <xf numFmtId="166" fontId="0" fillId="0" borderId="2" xfId="0" applyNumberFormat="1" applyBorder="1" applyAlignment="1" applyProtection="1">
      <alignment vertical="center"/>
    </xf>
    <xf numFmtId="166" fontId="0" fillId="0" borderId="4" xfId="0" applyNumberFormat="1" applyBorder="1" applyAlignment="1" applyProtection="1">
      <alignment vertical="center"/>
    </xf>
    <xf numFmtId="166" fontId="0" fillId="0" borderId="11" xfId="0" applyNumberFormat="1" applyBorder="1" applyAlignment="1">
      <alignment vertical="center"/>
    </xf>
    <xf numFmtId="166" fontId="0" fillId="0" borderId="4" xfId="0" applyNumberForma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</xf>
    <xf numFmtId="166" fontId="10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hidden="1"/>
    </xf>
    <xf numFmtId="166" fontId="3" fillId="0" borderId="1" xfId="0" applyNumberFormat="1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>
      <alignment horizontal="right" vertical="center"/>
    </xf>
    <xf numFmtId="0" fontId="36" fillId="0" borderId="0" xfId="0" applyFont="1" applyAlignment="1" applyProtection="1">
      <alignment horizontal="left" vertical="center"/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166" fontId="14" fillId="0" borderId="0" xfId="0" applyNumberFormat="1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6" fontId="0" fillId="0" borderId="0" xfId="0" applyNumberFormat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6" fontId="6" fillId="0" borderId="2" xfId="0" applyNumberFormat="1" applyFont="1" applyBorder="1" applyAlignment="1" applyProtection="1">
      <alignment horizontal="right" vertical="center"/>
      <protection locked="0"/>
    </xf>
    <xf numFmtId="166" fontId="6" fillId="0" borderId="14" xfId="0" applyNumberFormat="1" applyFont="1" applyBorder="1" applyAlignment="1" applyProtection="1">
      <alignment horizontal="right" vertical="center"/>
      <protection locked="0"/>
    </xf>
    <xf numFmtId="166" fontId="6" fillId="0" borderId="4" xfId="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0" fontId="42" fillId="0" borderId="7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7" xfId="0" applyBorder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6" fontId="0" fillId="0" borderId="5" xfId="0" applyNumberFormat="1" applyBorder="1" applyAlignment="1">
      <alignment vertical="center"/>
    </xf>
    <xf numFmtId="164" fontId="3" fillId="0" borderId="31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0" fontId="0" fillId="0" borderId="13" xfId="0" applyBorder="1" applyProtection="1">
      <alignment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43" fillId="0" borderId="0" xfId="0" applyFont="1" applyProtection="1">
      <alignment vertical="center"/>
      <protection hidden="1"/>
    </xf>
    <xf numFmtId="166" fontId="3" fillId="0" borderId="2" xfId="0" applyNumberFormat="1" applyFont="1" applyBorder="1" applyAlignment="1" applyProtection="1">
      <alignment vertical="center"/>
    </xf>
    <xf numFmtId="0" fontId="0" fillId="0" borderId="0" xfId="0" applyFill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64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3" fillId="2" borderId="31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right" vertical="center"/>
      <protection hidden="1"/>
    </xf>
    <xf numFmtId="0" fontId="34" fillId="0" borderId="34" xfId="0" applyFont="1" applyBorder="1" applyAlignment="1" applyProtection="1">
      <alignment horizontal="left" vertical="center"/>
      <protection hidden="1"/>
    </xf>
    <xf numFmtId="0" fontId="34" fillId="0" borderId="10" xfId="0" applyFont="1" applyBorder="1" applyAlignment="1" applyProtection="1">
      <alignment horizontal="left" vertical="center"/>
      <protection hidden="1"/>
    </xf>
    <xf numFmtId="0" fontId="34" fillId="0" borderId="34" xfId="0" applyFont="1" applyBorder="1" applyAlignment="1" applyProtection="1">
      <alignment horizontal="right" vertical="center"/>
      <protection hidden="1"/>
    </xf>
    <xf numFmtId="0" fontId="34" fillId="0" borderId="12" xfId="0" applyFont="1" applyBorder="1" applyAlignment="1" applyProtection="1">
      <alignment horizontal="right" vertical="center"/>
      <protection hidden="1"/>
    </xf>
    <xf numFmtId="164" fontId="3" fillId="2" borderId="35" xfId="0" applyNumberFormat="1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/>
      <protection hidden="1"/>
    </xf>
    <xf numFmtId="0" fontId="3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37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3" fillId="0" borderId="11" xfId="0" applyFont="1" applyBorder="1" applyProtection="1">
      <alignment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Protection="1">
      <alignment vertical="center"/>
      <protection hidden="1"/>
    </xf>
    <xf numFmtId="0" fontId="34" fillId="0" borderId="0" xfId="0" applyFont="1" applyBorder="1" applyProtection="1">
      <alignment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28" xfId="0" applyFill="1" applyBorder="1" applyAlignment="1" applyProtection="1">
      <alignment horizontal="center" vertical="center"/>
      <protection hidden="1"/>
    </xf>
    <xf numFmtId="0" fontId="0" fillId="0" borderId="12" xfId="0" quotePrefix="1" applyBorder="1" applyAlignment="1" applyProtection="1">
      <alignment vertical="center"/>
      <protection hidden="1"/>
    </xf>
    <xf numFmtId="0" fontId="0" fillId="0" borderId="2" xfId="0" quotePrefix="1" applyBorder="1" applyAlignment="1" applyProtection="1">
      <alignment vertical="center"/>
      <protection hidden="1"/>
    </xf>
    <xf numFmtId="0" fontId="0" fillId="0" borderId="38" xfId="0" quotePrefix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vertical="center"/>
      <protection hidden="1"/>
    </xf>
    <xf numFmtId="0" fontId="0" fillId="0" borderId="32" xfId="0" quotePrefix="1" applyBorder="1" applyAlignment="1" applyProtection="1">
      <alignment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" xfId="0" quotePrefix="1" applyBorder="1" applyAlignment="1" applyProtection="1">
      <alignment vertical="center"/>
      <protection hidden="1"/>
    </xf>
    <xf numFmtId="0" fontId="0" fillId="0" borderId="13" xfId="0" quotePrefix="1" applyBorder="1" applyAlignment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0" fillId="4" borderId="38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5" borderId="1" xfId="0" applyFill="1" applyBorder="1" applyProtection="1">
      <alignment vertical="center"/>
      <protection hidden="1"/>
    </xf>
    <xf numFmtId="0" fontId="0" fillId="5" borderId="32" xfId="0" applyFill="1" applyBorder="1" applyProtection="1">
      <alignment vertical="center"/>
      <protection hidden="1"/>
    </xf>
    <xf numFmtId="0" fontId="0" fillId="5" borderId="13" xfId="0" applyFill="1" applyBorder="1" applyProtection="1">
      <alignment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2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166" fontId="3" fillId="0" borderId="5" xfId="0" applyNumberFormat="1" applyFont="1" applyBorder="1" applyAlignment="1" applyProtection="1">
      <alignment vertical="center"/>
    </xf>
    <xf numFmtId="0" fontId="6" fillId="0" borderId="5" xfId="0" applyFont="1" applyBorder="1" applyProtection="1">
      <alignment vertical="center"/>
      <protection locked="0"/>
    </xf>
    <xf numFmtId="166" fontId="3" fillId="0" borderId="14" xfId="0" applyNumberFormat="1" applyFont="1" applyBorder="1" applyAlignment="1" applyProtection="1">
      <alignment vertical="center"/>
    </xf>
    <xf numFmtId="166" fontId="3" fillId="0" borderId="3" xfId="0" applyNumberFormat="1" applyFont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3" fillId="2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3" fillId="0" borderId="0" xfId="0" applyFont="1" applyBorder="1" applyProtection="1">
      <alignment vertical="center"/>
      <protection hidden="1"/>
    </xf>
    <xf numFmtId="0" fontId="42" fillId="0" borderId="0" xfId="0" applyFont="1" applyBorder="1" applyProtection="1">
      <alignment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34" fillId="0" borderId="20" xfId="0" applyFont="1" applyBorder="1" applyProtection="1">
      <alignment vertical="center"/>
      <protection hidden="1"/>
    </xf>
    <xf numFmtId="0" fontId="0" fillId="0" borderId="17" xfId="0" applyBorder="1" applyProtection="1">
      <alignment vertical="center"/>
      <protection hidden="1"/>
    </xf>
    <xf numFmtId="0" fontId="34" fillId="0" borderId="10" xfId="0" applyFont="1" applyBorder="1" applyProtection="1">
      <alignment vertical="center"/>
      <protection hidden="1"/>
    </xf>
    <xf numFmtId="0" fontId="34" fillId="0" borderId="12" xfId="0" applyFont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34" fillId="0" borderId="34" xfId="0" applyFont="1" applyBorder="1" applyProtection="1">
      <alignment vertical="center"/>
      <protection hidden="1"/>
    </xf>
    <xf numFmtId="0" fontId="0" fillId="0" borderId="25" xfId="0" applyBorder="1" applyProtection="1">
      <alignment vertical="center"/>
      <protection hidden="1"/>
    </xf>
    <xf numFmtId="0" fontId="0" fillId="0" borderId="30" xfId="0" applyBorder="1" applyProtection="1">
      <alignment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4" borderId="7" xfId="0" applyFill="1" applyBorder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37" fillId="5" borderId="0" xfId="0" applyFont="1" applyFill="1" applyAlignment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vertical="center"/>
      <protection hidden="1"/>
    </xf>
    <xf numFmtId="166" fontId="7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6" borderId="42" xfId="0" applyFill="1" applyBorder="1" applyAlignment="1">
      <alignment vertical="center"/>
    </xf>
    <xf numFmtId="0" fontId="6" fillId="6" borderId="42" xfId="0" applyFont="1" applyFill="1" applyBorder="1" applyAlignment="1" applyProtection="1">
      <alignment horizontal="center" vertical="center"/>
      <protection locked="0"/>
    </xf>
    <xf numFmtId="166" fontId="6" fillId="6" borderId="42" xfId="0" applyNumberFormat="1" applyFont="1" applyFill="1" applyBorder="1" applyAlignment="1" applyProtection="1">
      <alignment horizontal="right" vertical="center"/>
      <protection locked="0"/>
    </xf>
    <xf numFmtId="164" fontId="6" fillId="6" borderId="42" xfId="0" applyNumberFormat="1" applyFont="1" applyFill="1" applyBorder="1" applyProtection="1">
      <alignment vertical="center"/>
      <protection locked="0"/>
    </xf>
    <xf numFmtId="166" fontId="3" fillId="6" borderId="42" xfId="0" applyNumberFormat="1" applyFont="1" applyFill="1" applyBorder="1" applyAlignment="1" applyProtection="1">
      <alignment horizontal="right" vertical="center"/>
      <protection hidden="1"/>
    </xf>
    <xf numFmtId="166" fontId="3" fillId="6" borderId="42" xfId="0" applyNumberFormat="1" applyFont="1" applyFill="1" applyBorder="1" applyAlignment="1">
      <alignment horizontal="right" vertical="center"/>
    </xf>
    <xf numFmtId="166" fontId="0" fillId="6" borderId="42" xfId="0" applyNumberFormat="1" applyFill="1" applyBorder="1" applyAlignment="1">
      <alignment horizontal="right" vertical="center"/>
    </xf>
    <xf numFmtId="0" fontId="9" fillId="6" borderId="42" xfId="0" applyFont="1" applyFill="1" applyBorder="1" applyAlignment="1">
      <alignment vertical="center"/>
    </xf>
    <xf numFmtId="0" fontId="0" fillId="6" borderId="42" xfId="0" applyFill="1" applyBorder="1" applyAlignment="1" applyProtection="1">
      <alignment vertical="center"/>
      <protection hidden="1"/>
    </xf>
    <xf numFmtId="166" fontId="6" fillId="6" borderId="42" xfId="0" applyNumberFormat="1" applyFont="1" applyFill="1" applyBorder="1" applyAlignment="1" applyProtection="1">
      <alignment horizontal="left" vertical="center"/>
      <protection locked="0"/>
    </xf>
    <xf numFmtId="2" fontId="47" fillId="0" borderId="0" xfId="0" applyNumberFormat="1" applyFont="1" applyFill="1" applyBorder="1" applyAlignment="1" applyProtection="1">
      <alignment vertical="center"/>
      <protection hidden="1"/>
    </xf>
    <xf numFmtId="0" fontId="0" fillId="6" borderId="0" xfId="0" applyFill="1" applyAlignment="1">
      <alignment vertical="center"/>
    </xf>
    <xf numFmtId="0" fontId="4" fillId="6" borderId="0" xfId="0" applyFont="1" applyFill="1" applyAlignment="1" applyProtection="1">
      <alignment vertical="center"/>
      <protection locked="0"/>
    </xf>
    <xf numFmtId="0" fontId="0" fillId="6" borderId="1" xfId="0" applyFill="1" applyBorder="1" applyAlignment="1">
      <alignment vertical="center"/>
    </xf>
    <xf numFmtId="2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>
      <alignment horizontal="center" vertical="center"/>
    </xf>
    <xf numFmtId="166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66" fontId="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8" fillId="7" borderId="0" xfId="0" applyFont="1" applyFill="1" applyAlignment="1" applyProtection="1">
      <alignment horizontal="center" vertical="center"/>
      <protection locked="0"/>
    </xf>
    <xf numFmtId="0" fontId="49" fillId="7" borderId="0" xfId="0" applyFont="1" applyFill="1" applyAlignment="1" applyProtection="1">
      <alignment horizontal="center" vertical="center"/>
    </xf>
    <xf numFmtId="166" fontId="6" fillId="0" borderId="0" xfId="0" applyNumberFormat="1" applyFont="1" applyAlignment="1" applyProtection="1">
      <alignment horizontal="right" vertical="center"/>
      <protection locked="0"/>
    </xf>
    <xf numFmtId="166" fontId="7" fillId="0" borderId="0" xfId="0" applyNumberFormat="1" applyFont="1" applyAlignment="1" applyProtection="1">
      <alignment vertical="center"/>
      <protection locked="0"/>
    </xf>
    <xf numFmtId="166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166" fontId="0" fillId="0" borderId="0" xfId="0" applyNumberFormat="1" applyBorder="1" applyAlignment="1">
      <alignment vertical="center" textRotation="90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right" vertical="center" textRotation="90"/>
    </xf>
    <xf numFmtId="0" fontId="0" fillId="0" borderId="0" xfId="0" applyBorder="1" applyAlignment="1">
      <alignment horizontal="right" vertical="center" textRotation="90"/>
    </xf>
    <xf numFmtId="0" fontId="0" fillId="0" borderId="0" xfId="0" applyAlignment="1">
      <alignment vertical="center" textRotation="90"/>
    </xf>
    <xf numFmtId="166" fontId="0" fillId="0" borderId="0" xfId="0" applyNumberFormat="1" applyAlignment="1">
      <alignment textRotation="90"/>
    </xf>
    <xf numFmtId="0" fontId="0" fillId="0" borderId="0" xfId="0" applyAlignment="1"/>
    <xf numFmtId="166" fontId="0" fillId="0" borderId="24" xfId="0" applyNumberFormat="1" applyFont="1" applyBorder="1" applyAlignment="1">
      <alignment horizontal="left" textRotation="90"/>
    </xf>
    <xf numFmtId="0" fontId="0" fillId="0" borderId="24" xfId="0" applyBorder="1" applyAlignment="1">
      <alignment horizontal="left" vertical="center" textRotation="90"/>
    </xf>
    <xf numFmtId="0" fontId="34" fillId="0" borderId="10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 textRotation="90"/>
    </xf>
    <xf numFmtId="0" fontId="0" fillId="0" borderId="0" xfId="0" applyAlignment="1">
      <alignment vertical="center"/>
    </xf>
    <xf numFmtId="166" fontId="0" fillId="0" borderId="0" xfId="0" applyNumberFormat="1" applyBorder="1" applyAlignment="1">
      <alignment textRotation="90"/>
    </xf>
    <xf numFmtId="0" fontId="0" fillId="0" borderId="0" xfId="0" applyAlignment="1">
      <alignment textRotation="90"/>
    </xf>
    <xf numFmtId="0" fontId="34" fillId="0" borderId="6" xfId="0" applyFont="1" applyBorder="1" applyAlignment="1" applyProtection="1">
      <alignment horizontal="center" vertical="center"/>
      <protection hidden="1"/>
    </xf>
    <xf numFmtId="0" fontId="34" fillId="0" borderId="9" xfId="0" applyFont="1" applyBorder="1" applyAlignment="1" applyProtection="1">
      <alignment horizontal="center" vertical="center"/>
      <protection hidden="1"/>
    </xf>
    <xf numFmtId="166" fontId="3" fillId="0" borderId="24" xfId="0" applyNumberFormat="1" applyFont="1" applyBorder="1" applyAlignment="1" applyProtection="1">
      <alignment horizontal="left" vertical="top" textRotation="90"/>
    </xf>
    <xf numFmtId="0" fontId="0" fillId="0" borderId="27" xfId="0" applyBorder="1" applyAlignment="1">
      <alignment horizontal="left" vertical="top" textRotation="90"/>
    </xf>
    <xf numFmtId="0" fontId="0" fillId="6" borderId="42" xfId="0" applyFill="1" applyBorder="1" applyAlignment="1">
      <alignment horizontal="right" vertical="top" textRotation="90"/>
    </xf>
    <xf numFmtId="166" fontId="0" fillId="6" borderId="42" xfId="0" applyNumberFormat="1" applyFill="1" applyBorder="1" applyAlignment="1">
      <alignment horizontal="right" textRotation="90"/>
    </xf>
    <xf numFmtId="0" fontId="0" fillId="6" borderId="42" xfId="0" applyFill="1" applyBorder="1" applyAlignment="1">
      <alignment horizontal="right"/>
    </xf>
    <xf numFmtId="166" fontId="0" fillId="0" borderId="1" xfId="0" applyNumberFormat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vertical="top" textRotation="90"/>
    </xf>
    <xf numFmtId="0" fontId="34" fillId="0" borderId="43" xfId="0" applyFont="1" applyBorder="1" applyAlignment="1" applyProtection="1">
      <alignment horizontal="center" vertical="center"/>
      <protection hidden="1"/>
    </xf>
    <xf numFmtId="0" fontId="34" fillId="0" borderId="44" xfId="0" applyFont="1" applyBorder="1" applyAlignment="1" applyProtection="1">
      <alignment vertical="center"/>
      <protection hidden="1"/>
    </xf>
    <xf numFmtId="0" fontId="34" fillId="0" borderId="45" xfId="0" applyFont="1" applyBorder="1" applyAlignment="1" applyProtection="1">
      <alignment horizontal="right" vertical="center"/>
      <protection hidden="1"/>
    </xf>
    <xf numFmtId="0" fontId="34" fillId="0" borderId="46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hidden="1"/>
    </xf>
    <xf numFmtId="0" fontId="34" fillId="0" borderId="13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16" xfId="0" applyFont="1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9" xfId="0" applyBorder="1" applyAlignment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60" xfId="0" applyBorder="1" applyAlignment="1" applyProtection="1">
      <alignment vertical="center"/>
    </xf>
    <xf numFmtId="0" fontId="0" fillId="0" borderId="32" xfId="0" applyBorder="1" applyAlignment="1">
      <alignment vertical="center"/>
    </xf>
    <xf numFmtId="0" fontId="0" fillId="0" borderId="55" xfId="0" applyBorder="1" applyAlignment="1" applyProtection="1">
      <alignment vertical="center"/>
    </xf>
    <xf numFmtId="0" fontId="0" fillId="0" borderId="56" xfId="0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4" fillId="0" borderId="52" xfId="0" applyFont="1" applyBorder="1" applyAlignment="1" applyProtection="1">
      <alignment horizontal="left" vertical="center" wrapText="1"/>
      <protection hidden="1"/>
    </xf>
    <xf numFmtId="0" fontId="3" fillId="0" borderId="53" xfId="0" applyFont="1" applyBorder="1" applyAlignment="1" applyProtection="1">
      <alignment horizontal="left" vertical="center" wrapText="1"/>
      <protection hidden="1"/>
    </xf>
    <xf numFmtId="0" fontId="3" fillId="0" borderId="54" xfId="0" applyFont="1" applyBorder="1" applyAlignment="1" applyProtection="1">
      <alignment horizontal="left" vertical="center" wrapText="1"/>
      <protection hidden="1"/>
    </xf>
    <xf numFmtId="0" fontId="34" fillId="0" borderId="1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4" fillId="0" borderId="47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48" xfId="0" applyFont="1" applyBorder="1" applyAlignment="1" applyProtection="1">
      <alignment horizontal="left" vertical="center" wrapText="1"/>
      <protection hidden="1"/>
    </xf>
    <xf numFmtId="0" fontId="34" fillId="0" borderId="3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34" fillId="0" borderId="50" xfId="0" applyFont="1" applyBorder="1" applyAlignment="1" applyProtection="1">
      <alignment horizontal="left" vertical="center" wrapText="1"/>
      <protection hidden="1"/>
    </xf>
    <xf numFmtId="0" fontId="3" fillId="0" borderId="51" xfId="0" applyFont="1" applyBorder="1" applyAlignment="1" applyProtection="1">
      <alignment horizontal="left" vertical="center" wrapText="1"/>
      <protection hidden="1"/>
    </xf>
    <xf numFmtId="0" fontId="3" fillId="0" borderId="49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9F3109F-0925-4B4A-830D-B5FB6BEDA7AF}" diskRevisions="1" revisionId="2" version="2">
  <header guid="{39F3109F-0925-4B4A-830D-B5FB6BEDA7AF}" dateTime="2021-08-22T09:59:30" maxSheetId="3" userName="Hoctoan123.com" r:id="rId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294C485_EED7_4AA6_A8B2_4AE3C1ADF5F4_.wvu.PrintArea" hidden="1" oldHidden="1">
    <formula>'PILE-99'!$A$1:$L$134,'PILE-99'!$M$1:$AC$45</formula>
  </rdn>
  <rdn rId="0" localSheetId="1" customView="1" name="Z_0294C485_EED7_4AA6_A8B2_4AE3C1ADF5F4_.wvu.Cols" hidden="1" oldHidden="1">
    <formula>'PILE-99'!$IJ:$IT</formula>
  </rdn>
  <rcv guid="{0294C485-EED7-4AA6-A8B2-4AE3C1ADF5F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34"/>
  <sheetViews>
    <sheetView tabSelected="1" zoomScale="85" zoomScaleNormal="85" zoomScaleSheetLayoutView="115" workbookViewId="0">
      <selection activeCell="N28" sqref="N28"/>
    </sheetView>
  </sheetViews>
  <sheetFormatPr defaultColWidth="17.140625" defaultRowHeight="15" customHeight="1" x14ac:dyDescent="0.2"/>
  <cols>
    <col min="1" max="1" width="2.5703125" style="412" customWidth="1"/>
    <col min="2" max="2" width="8.7109375" style="12" customWidth="1"/>
    <col min="3" max="3" width="7.5703125" style="1" customWidth="1"/>
    <col min="4" max="4" width="3.42578125" style="12" customWidth="1"/>
    <col min="5" max="5" width="9.7109375" style="12" customWidth="1"/>
    <col min="6" max="6" width="8.85546875" style="12" customWidth="1"/>
    <col min="7" max="7" width="10" style="12" customWidth="1"/>
    <col min="8" max="8" width="9" style="12" customWidth="1"/>
    <col min="9" max="9" width="8.28515625" style="12" customWidth="1"/>
    <col min="10" max="10" width="9" style="12" customWidth="1"/>
    <col min="11" max="11" width="10.140625" style="12" bestFit="1" customWidth="1"/>
    <col min="12" max="12" width="5.5703125" style="12" customWidth="1"/>
    <col min="13" max="13" width="3.140625" style="401" customWidth="1"/>
    <col min="14" max="14" width="6.7109375" style="12" customWidth="1"/>
    <col min="15" max="15" width="7.42578125" style="12" customWidth="1"/>
    <col min="16" max="16" width="3.7109375" style="12" customWidth="1"/>
    <col min="17" max="19" width="8.140625" style="12" customWidth="1"/>
    <col min="20" max="20" width="3.7109375" style="12" customWidth="1"/>
    <col min="21" max="21" width="7.42578125" style="12" customWidth="1"/>
    <col min="22" max="24" width="3.7109375" style="12" customWidth="1"/>
    <col min="25" max="25" width="1.7109375" style="12" customWidth="1"/>
    <col min="26" max="26" width="3.85546875" style="12" customWidth="1"/>
    <col min="27" max="27" width="4.28515625" style="12" customWidth="1"/>
    <col min="28" max="28" width="6.42578125" style="12" customWidth="1"/>
    <col min="29" max="29" width="3.28515625" style="401" customWidth="1"/>
    <col min="30" max="30" width="4" style="12" customWidth="1"/>
    <col min="31" max="31" width="4.7109375" style="12" customWidth="1"/>
    <col min="32" max="32" width="3.7109375" style="12" customWidth="1"/>
    <col min="33" max="35" width="8.140625" style="12" customWidth="1"/>
    <col min="36" max="36" width="3.7109375" style="12" customWidth="1"/>
    <col min="37" max="37" width="7.42578125" style="12" customWidth="1"/>
    <col min="38" max="40" width="3.7109375" style="12" customWidth="1"/>
    <col min="41" max="41" width="1.7109375" style="12" customWidth="1"/>
    <col min="42" max="42" width="3.85546875" style="12" customWidth="1"/>
    <col min="43" max="43" width="4.28515625" style="12" customWidth="1"/>
    <col min="44" max="44" width="6.42578125" style="12" customWidth="1"/>
    <col min="45" max="45" width="3.28515625" style="12" customWidth="1"/>
    <col min="46" max="46" width="6.28515625" style="12" customWidth="1"/>
    <col min="47" max="47" width="6.42578125" style="12" customWidth="1"/>
    <col min="48" max="242" width="8.140625" style="12" customWidth="1"/>
    <col min="243" max="243" width="7.7109375" style="12" customWidth="1"/>
    <col min="244" max="244" width="3" style="12" hidden="1" customWidth="1"/>
    <col min="245" max="252" width="8.140625" style="12" hidden="1" customWidth="1"/>
    <col min="253" max="253" width="31.140625" style="12" hidden="1" customWidth="1"/>
    <col min="254" max="254" width="8.140625" style="12" hidden="1" customWidth="1"/>
    <col min="255" max="255" width="8.140625" style="12" customWidth="1"/>
    <col min="256" max="16384" width="17.140625" style="12"/>
  </cols>
  <sheetData>
    <row r="1" spans="1:256" ht="23.25" customHeight="1" x14ac:dyDescent="0.2">
      <c r="B1" s="393" t="s">
        <v>188</v>
      </c>
      <c r="D1" s="421" t="s">
        <v>460</v>
      </c>
      <c r="E1" s="421"/>
      <c r="F1" s="421"/>
      <c r="G1" s="421"/>
      <c r="H1" s="421"/>
      <c r="K1" s="252" t="s">
        <v>112</v>
      </c>
      <c r="Q1" s="422" t="str">
        <f>D1</f>
        <v>kiÓm tra mãng cäc BTCT</v>
      </c>
      <c r="R1" s="422"/>
      <c r="S1" s="422"/>
      <c r="T1" s="422"/>
      <c r="U1" s="422"/>
      <c r="AB1" s="164" t="str">
        <f>K1</f>
        <v>CoIns-404-9(C) - PILE99</v>
      </c>
      <c r="AD1" s="249" t="s">
        <v>0</v>
      </c>
      <c r="AF1" s="248" t="s">
        <v>458</v>
      </c>
      <c r="AG1" s="96"/>
      <c r="IK1" s="415" t="s">
        <v>466</v>
      </c>
      <c r="IL1" s="415"/>
      <c r="IM1" s="415"/>
      <c r="IN1" s="415"/>
      <c r="IO1" s="415"/>
      <c r="IP1" s="415"/>
      <c r="IQ1" s="415"/>
      <c r="IR1" s="415"/>
      <c r="IS1" s="415"/>
      <c r="IT1" s="411"/>
      <c r="IU1" s="411"/>
      <c r="IV1" s="411"/>
    </row>
    <row r="2" spans="1:256" ht="15" customHeight="1" x14ac:dyDescent="0.2">
      <c r="E2" s="55" t="s">
        <v>25</v>
      </c>
      <c r="F2" s="72" t="s">
        <v>464</v>
      </c>
      <c r="N2" s="160">
        <f>K9</f>
        <v>0</v>
      </c>
      <c r="O2" s="150" t="s">
        <v>167</v>
      </c>
      <c r="P2" s="71"/>
      <c r="Q2" s="162"/>
      <c r="R2" s="26" t="s">
        <v>25</v>
      </c>
      <c r="S2" s="12" t="str">
        <f>F2</f>
        <v>Mãng cäc §C-4, HK K13</v>
      </c>
      <c r="AA2" s="164"/>
      <c r="AF2" s="151" t="s">
        <v>364</v>
      </c>
      <c r="AG2" s="100"/>
      <c r="IK2" s="416" t="s">
        <v>465</v>
      </c>
      <c r="IL2" s="416"/>
      <c r="IM2" s="416"/>
      <c r="IN2" s="416"/>
      <c r="IO2" s="416"/>
      <c r="IP2" s="416"/>
      <c r="IQ2" s="416"/>
      <c r="IR2" s="416"/>
      <c r="IS2" s="416"/>
    </row>
    <row r="3" spans="1:256" ht="15" customHeight="1" x14ac:dyDescent="0.2">
      <c r="E3" s="167" t="s">
        <v>24</v>
      </c>
      <c r="F3" s="73" t="s">
        <v>461</v>
      </c>
      <c r="N3" s="161"/>
      <c r="O3" s="150"/>
      <c r="P3" s="193"/>
      <c r="Q3" s="71"/>
      <c r="R3" s="165" t="s">
        <v>24</v>
      </c>
      <c r="S3" s="76" t="str">
        <f>F3</f>
        <v>Nhµ ký tóc x¸ K1</v>
      </c>
      <c r="AF3" s="12" t="s">
        <v>181</v>
      </c>
      <c r="AG3" s="100"/>
    </row>
    <row r="4" spans="1:256" ht="15" customHeight="1" x14ac:dyDescent="0.2">
      <c r="E4" s="168" t="s">
        <v>23</v>
      </c>
      <c r="F4" s="73" t="s">
        <v>462</v>
      </c>
      <c r="N4" s="160">
        <f>K10</f>
        <v>0.75</v>
      </c>
      <c r="O4" s="150" t="s">
        <v>168</v>
      </c>
      <c r="P4" s="194"/>
      <c r="Q4" s="71"/>
      <c r="R4" s="166" t="s">
        <v>23</v>
      </c>
      <c r="S4" s="76" t="str">
        <f>F4</f>
        <v>TTr­êng qu¶n lý kinh tÕ c«ng nghiÖp</v>
      </c>
      <c r="AF4" s="151" t="s">
        <v>95</v>
      </c>
      <c r="AG4" s="100"/>
      <c r="AH4" s="100"/>
      <c r="AI4" s="100"/>
    </row>
    <row r="5" spans="1:256" ht="15" customHeight="1" x14ac:dyDescent="0.2">
      <c r="E5" s="168" t="s">
        <v>26</v>
      </c>
      <c r="F5" s="73" t="s">
        <v>463</v>
      </c>
      <c r="N5" s="161"/>
      <c r="O5" s="150"/>
      <c r="P5" s="194"/>
      <c r="Q5" s="71"/>
      <c r="R5" s="166" t="s">
        <v>26</v>
      </c>
      <c r="S5" s="76" t="str">
        <f>F5</f>
        <v>Giai Ph¹m - Yªn Mü - H­ng Yªn</v>
      </c>
      <c r="AF5" s="151" t="s">
        <v>366</v>
      </c>
      <c r="AG5" s="100"/>
      <c r="AH5" s="100"/>
      <c r="AI5" s="100"/>
    </row>
    <row r="6" spans="1:256" ht="15" customHeight="1" x14ac:dyDescent="0.2">
      <c r="F6" s="56"/>
      <c r="L6" s="56"/>
      <c r="N6" s="160">
        <f>K11</f>
        <v>0.45</v>
      </c>
      <c r="O6" s="150" t="s">
        <v>169</v>
      </c>
      <c r="P6" s="194"/>
      <c r="Q6" s="74" t="s">
        <v>14</v>
      </c>
      <c r="R6" s="163"/>
      <c r="S6" s="74"/>
      <c r="T6" s="74"/>
      <c r="U6" s="74"/>
      <c r="Y6" s="76"/>
      <c r="AA6" s="74"/>
      <c r="AB6" s="76"/>
      <c r="AF6" s="151" t="s">
        <v>365</v>
      </c>
      <c r="AG6" s="100"/>
      <c r="AS6" s="76"/>
    </row>
    <row r="7" spans="1:256" ht="15" customHeight="1" x14ac:dyDescent="0.2">
      <c r="A7" s="413" t="s">
        <v>123</v>
      </c>
      <c r="B7" s="184" t="s">
        <v>115</v>
      </c>
      <c r="L7" s="56"/>
      <c r="N7" s="161"/>
      <c r="O7" s="150"/>
      <c r="P7" s="241" t="s">
        <v>55</v>
      </c>
      <c r="Q7" s="71"/>
      <c r="S7" s="76"/>
      <c r="T7" s="76"/>
      <c r="U7" s="173"/>
      <c r="V7" s="173"/>
      <c r="W7" s="173"/>
      <c r="X7" s="173"/>
      <c r="Y7" s="76"/>
      <c r="Z7" s="173"/>
      <c r="AA7" s="173"/>
      <c r="AB7" s="76"/>
      <c r="AF7" s="151" t="s">
        <v>176</v>
      </c>
    </row>
    <row r="8" spans="1:256" ht="15" customHeight="1" x14ac:dyDescent="0.2">
      <c r="B8" s="56" t="s">
        <v>9</v>
      </c>
      <c r="C8" s="139" t="s">
        <v>55</v>
      </c>
      <c r="D8" s="247" t="s">
        <v>10</v>
      </c>
      <c r="E8" s="242">
        <v>164.136</v>
      </c>
      <c r="G8" s="139" t="s">
        <v>230</v>
      </c>
      <c r="H8" s="75">
        <v>2</v>
      </c>
      <c r="I8" s="144" t="s">
        <v>224</v>
      </c>
      <c r="M8" s="402"/>
      <c r="N8" s="161"/>
      <c r="O8" s="150"/>
      <c r="P8" s="194"/>
      <c r="Q8" s="71"/>
      <c r="S8" s="170"/>
      <c r="T8" s="76"/>
      <c r="U8" s="76"/>
      <c r="V8" s="76"/>
      <c r="W8" s="76"/>
      <c r="X8" s="76"/>
      <c r="Y8" s="76"/>
      <c r="Z8" s="449">
        <f>K21</f>
        <v>1.1500000000000001</v>
      </c>
      <c r="AA8" s="76"/>
      <c r="AB8" s="76"/>
      <c r="AF8" s="151" t="s">
        <v>264</v>
      </c>
    </row>
    <row r="9" spans="1:256" ht="15" customHeight="1" x14ac:dyDescent="0.2">
      <c r="B9" s="56"/>
      <c r="C9" s="139" t="s">
        <v>231</v>
      </c>
      <c r="D9" s="247" t="s">
        <v>10</v>
      </c>
      <c r="E9" s="242">
        <v>10.039999999999999</v>
      </c>
      <c r="F9" s="56" t="s">
        <v>8</v>
      </c>
      <c r="G9" s="139" t="s">
        <v>5</v>
      </c>
      <c r="H9" s="75">
        <v>1.25</v>
      </c>
      <c r="I9" s="56" t="s">
        <v>1</v>
      </c>
      <c r="J9" s="139" t="s">
        <v>185</v>
      </c>
      <c r="K9" s="253">
        <v>0</v>
      </c>
      <c r="L9" s="56" t="s">
        <v>1</v>
      </c>
      <c r="M9" s="403"/>
      <c r="N9" s="188">
        <f>K20</f>
        <v>0.70000000000000007</v>
      </c>
      <c r="O9" s="201" t="s">
        <v>170</v>
      </c>
      <c r="P9" s="194"/>
      <c r="Q9" s="202"/>
      <c r="S9" s="76"/>
      <c r="T9" s="76"/>
      <c r="U9" s="76"/>
      <c r="V9" s="76"/>
      <c r="W9" s="76"/>
      <c r="X9" s="76"/>
      <c r="Y9" s="76"/>
      <c r="Z9" s="450"/>
      <c r="AA9" s="76"/>
      <c r="AB9" s="76"/>
      <c r="AF9" s="12" t="s">
        <v>453</v>
      </c>
    </row>
    <row r="10" spans="1:256" ht="15" customHeight="1" x14ac:dyDescent="0.2">
      <c r="B10" s="56"/>
      <c r="C10" s="139" t="s">
        <v>232</v>
      </c>
      <c r="D10" s="247" t="s">
        <v>10</v>
      </c>
      <c r="E10" s="242">
        <v>3.8</v>
      </c>
      <c r="F10" s="56"/>
      <c r="G10" s="139" t="s">
        <v>236</v>
      </c>
      <c r="H10" s="75">
        <v>0.9</v>
      </c>
      <c r="I10" s="56" t="s">
        <v>1</v>
      </c>
      <c r="J10" s="139" t="s">
        <v>199</v>
      </c>
      <c r="K10" s="6">
        <v>0.75</v>
      </c>
      <c r="L10" s="55" t="s">
        <v>1</v>
      </c>
      <c r="M10" s="403"/>
      <c r="N10" s="161"/>
      <c r="O10" s="195"/>
      <c r="P10" s="97"/>
      <c r="Q10" s="196"/>
      <c r="S10" s="76"/>
      <c r="T10" s="76"/>
      <c r="U10" s="76"/>
      <c r="V10" s="76"/>
      <c r="W10" s="76"/>
      <c r="X10" s="76"/>
      <c r="Y10" s="76"/>
      <c r="Z10" s="450"/>
      <c r="AA10" s="76"/>
      <c r="AB10" s="76"/>
      <c r="AJ10" s="151"/>
    </row>
    <row r="11" spans="1:256" ht="15" customHeight="1" x14ac:dyDescent="0.2">
      <c r="B11" s="56" t="s">
        <v>113</v>
      </c>
      <c r="C11" s="142" t="s">
        <v>210</v>
      </c>
      <c r="D11" s="247" t="s">
        <v>10</v>
      </c>
      <c r="E11" s="61">
        <v>2.5</v>
      </c>
      <c r="F11" s="56"/>
      <c r="G11" s="139" t="s">
        <v>211</v>
      </c>
      <c r="H11" s="75">
        <v>0.7</v>
      </c>
      <c r="I11" s="56" t="s">
        <v>1</v>
      </c>
      <c r="J11" s="139" t="s">
        <v>200</v>
      </c>
      <c r="K11" s="6">
        <v>0.45</v>
      </c>
      <c r="L11" s="56" t="s">
        <v>1</v>
      </c>
      <c r="M11" s="403"/>
      <c r="N11" s="161"/>
      <c r="O11" s="195"/>
      <c r="P11" s="76"/>
      <c r="Q11" s="197" t="s">
        <v>3</v>
      </c>
      <c r="R11" s="3">
        <f>H10</f>
        <v>0.9</v>
      </c>
      <c r="S11" s="180" t="s">
        <v>102</v>
      </c>
      <c r="T11" s="76"/>
      <c r="U11" s="76"/>
      <c r="V11" s="76"/>
      <c r="W11" s="76"/>
      <c r="X11" s="76"/>
      <c r="Y11" s="76"/>
      <c r="Z11" s="447" t="s">
        <v>101</v>
      </c>
      <c r="AA11" s="76"/>
      <c r="AB11" s="76"/>
      <c r="AF11" s="151" t="s">
        <v>130</v>
      </c>
      <c r="AG11" s="151"/>
      <c r="AH11" s="151"/>
      <c r="AI11" s="151"/>
      <c r="AJ11" s="151"/>
    </row>
    <row r="12" spans="1:256" ht="15" customHeight="1" x14ac:dyDescent="0.2">
      <c r="B12" s="56"/>
      <c r="C12" s="139" t="s">
        <v>212</v>
      </c>
      <c r="D12" s="257" t="s">
        <v>10</v>
      </c>
      <c r="E12" s="4">
        <v>130</v>
      </c>
      <c r="F12" s="56" t="s">
        <v>29</v>
      </c>
      <c r="G12" s="139" t="s">
        <v>58</v>
      </c>
      <c r="H12" s="6">
        <v>0.32</v>
      </c>
      <c r="I12" s="56" t="s">
        <v>1</v>
      </c>
      <c r="J12" s="139" t="s">
        <v>201</v>
      </c>
      <c r="K12" s="6">
        <v>1.6</v>
      </c>
      <c r="L12" s="56" t="s">
        <v>1</v>
      </c>
      <c r="M12" s="404"/>
      <c r="N12" s="161"/>
      <c r="O12" s="195"/>
      <c r="P12" s="199" t="s">
        <v>186</v>
      </c>
      <c r="Q12" s="244">
        <f>K13</f>
        <v>0.5</v>
      </c>
      <c r="S12" s="152"/>
      <c r="T12" s="180" t="s">
        <v>103</v>
      </c>
      <c r="U12" s="155"/>
      <c r="V12" s="155"/>
      <c r="W12" s="155"/>
      <c r="X12" s="155"/>
      <c r="Y12" s="155"/>
      <c r="Z12" s="448"/>
      <c r="AA12" s="76"/>
      <c r="AB12" s="76"/>
      <c r="AF12" s="151" t="s">
        <v>183</v>
      </c>
      <c r="AG12" s="151"/>
      <c r="AH12" s="151"/>
      <c r="AI12" s="151"/>
      <c r="AJ12" s="151"/>
    </row>
    <row r="13" spans="1:256" ht="15" customHeight="1" x14ac:dyDescent="0.2">
      <c r="B13" s="139"/>
      <c r="C13" s="139" t="s">
        <v>214</v>
      </c>
      <c r="D13" s="247" t="s">
        <v>10</v>
      </c>
      <c r="E13" s="4">
        <v>2800</v>
      </c>
      <c r="F13" s="56" t="s">
        <v>29</v>
      </c>
      <c r="G13" s="139" t="s">
        <v>4</v>
      </c>
      <c r="H13" s="5">
        <v>6</v>
      </c>
      <c r="I13" s="56"/>
      <c r="J13" s="139" t="s">
        <v>202</v>
      </c>
      <c r="K13" s="75">
        <v>0.5</v>
      </c>
      <c r="L13" s="56" t="s">
        <v>1</v>
      </c>
      <c r="N13" s="188">
        <f>K12</f>
        <v>1.6</v>
      </c>
      <c r="O13" s="198" t="s">
        <v>171</v>
      </c>
      <c r="P13" s="245" t="s">
        <v>172</v>
      </c>
      <c r="Q13" s="200">
        <f>K14</f>
        <v>0.1</v>
      </c>
      <c r="S13" s="152"/>
      <c r="T13" s="155"/>
      <c r="U13" s="180" t="s">
        <v>104</v>
      </c>
      <c r="V13" s="155"/>
      <c r="W13" s="155"/>
      <c r="X13" s="155"/>
      <c r="Y13" s="155"/>
      <c r="Z13" s="172"/>
      <c r="AA13" s="76"/>
      <c r="AB13" s="76"/>
      <c r="AF13" s="12" t="s">
        <v>182</v>
      </c>
      <c r="AG13" s="151"/>
      <c r="AH13" s="151"/>
      <c r="AI13" s="151"/>
      <c r="AJ13" s="151"/>
      <c r="AS13" s="178"/>
    </row>
    <row r="14" spans="1:256" ht="15" customHeight="1" x14ac:dyDescent="0.2">
      <c r="B14" s="139"/>
      <c r="C14" s="139" t="s">
        <v>215</v>
      </c>
      <c r="D14" s="247" t="s">
        <v>10</v>
      </c>
      <c r="E14" s="5" t="s">
        <v>53</v>
      </c>
      <c r="G14" s="139" t="s">
        <v>184</v>
      </c>
      <c r="H14" s="6">
        <v>0.75</v>
      </c>
      <c r="I14" s="56" t="s">
        <v>1</v>
      </c>
      <c r="J14" s="139" t="s">
        <v>203</v>
      </c>
      <c r="K14" s="6">
        <v>0.1</v>
      </c>
      <c r="L14" s="56" t="s">
        <v>1</v>
      </c>
      <c r="M14" s="405"/>
      <c r="P14" s="203"/>
      <c r="R14" s="159" t="s">
        <v>15</v>
      </c>
      <c r="S14" s="152"/>
      <c r="T14" s="172"/>
      <c r="U14" s="171"/>
      <c r="V14" s="180" t="s">
        <v>105</v>
      </c>
      <c r="W14" s="155"/>
      <c r="X14" s="155"/>
      <c r="Y14" s="155"/>
      <c r="Z14" s="155"/>
      <c r="AA14" s="76"/>
      <c r="AB14" s="76"/>
      <c r="AF14" s="151" t="s">
        <v>363</v>
      </c>
      <c r="AG14" s="151"/>
      <c r="AH14" s="151"/>
      <c r="AI14" s="151"/>
      <c r="AJ14" s="151"/>
    </row>
    <row r="15" spans="1:256" ht="15" customHeight="1" x14ac:dyDescent="0.2">
      <c r="B15" s="56"/>
      <c r="C15" s="139" t="str">
        <f>IF(E14="vu«ng","c¹nh:        a","®.kÝnh D:    ")</f>
        <v>c¹nh:        a</v>
      </c>
      <c r="D15" s="247" t="s">
        <v>10</v>
      </c>
      <c r="E15" s="75">
        <v>0.25</v>
      </c>
      <c r="F15" s="56" t="s">
        <v>1</v>
      </c>
      <c r="G15" s="142" t="s">
        <v>59</v>
      </c>
      <c r="H15" s="6">
        <f>2*H14*H14</f>
        <v>1.125</v>
      </c>
      <c r="J15" s="139" t="s">
        <v>235</v>
      </c>
      <c r="K15" s="61">
        <v>8</v>
      </c>
      <c r="L15" s="56" t="s">
        <v>52</v>
      </c>
      <c r="M15" s="405"/>
      <c r="O15" s="76"/>
      <c r="P15" s="204"/>
      <c r="Q15" s="74"/>
      <c r="R15" s="74"/>
      <c r="S15" s="169"/>
      <c r="T15" s="155"/>
      <c r="U15" s="155"/>
      <c r="V15" s="155"/>
      <c r="W15" s="180" t="s">
        <v>106</v>
      </c>
      <c r="X15" s="428" t="s">
        <v>107</v>
      </c>
      <c r="Y15" s="177"/>
      <c r="Z15" s="177"/>
      <c r="AA15" s="76"/>
      <c r="AB15" s="76"/>
      <c r="AF15" s="151" t="s">
        <v>117</v>
      </c>
      <c r="AG15" s="151"/>
      <c r="AH15" s="151"/>
      <c r="AI15" s="151"/>
      <c r="AJ15" s="151"/>
    </row>
    <row r="16" spans="1:256" ht="15" customHeight="1" x14ac:dyDescent="0.2">
      <c r="B16" s="56"/>
      <c r="C16" s="26" t="s">
        <v>217</v>
      </c>
      <c r="D16" s="247" t="s">
        <v>10</v>
      </c>
      <c r="E16" s="6">
        <v>14</v>
      </c>
      <c r="F16" s="56"/>
      <c r="G16" s="139" t="s">
        <v>218</v>
      </c>
      <c r="H16" s="128">
        <v>2800</v>
      </c>
      <c r="I16" s="56" t="s">
        <v>29</v>
      </c>
      <c r="J16" s="26" t="s">
        <v>51</v>
      </c>
      <c r="K16" s="61">
        <v>0.3</v>
      </c>
      <c r="L16" s="56"/>
      <c r="M16" s="405"/>
      <c r="O16" s="76"/>
      <c r="P16" s="205"/>
      <c r="S16" s="2"/>
      <c r="T16" s="156"/>
      <c r="U16" s="155"/>
      <c r="V16" s="155"/>
      <c r="W16" s="155"/>
      <c r="X16" s="429"/>
      <c r="Y16" s="176"/>
      <c r="Z16" s="176"/>
      <c r="AA16" s="432">
        <f>C70</f>
        <v>14.55</v>
      </c>
      <c r="AB16" s="76"/>
      <c r="AF16" s="151" t="s">
        <v>118</v>
      </c>
      <c r="AG16" s="151"/>
      <c r="AH16" s="151"/>
      <c r="AI16" s="151"/>
      <c r="AJ16" s="151"/>
    </row>
    <row r="17" spans="2:45" ht="15" customHeight="1" x14ac:dyDescent="0.2">
      <c r="B17" s="139"/>
      <c r="C17" s="139" t="s">
        <v>213</v>
      </c>
      <c r="D17" s="7">
        <v>4</v>
      </c>
      <c r="E17" s="5">
        <v>18</v>
      </c>
      <c r="F17" s="56"/>
      <c r="G17" s="26" t="s">
        <v>219</v>
      </c>
      <c r="H17" s="6">
        <v>1.94</v>
      </c>
      <c r="I17" s="56"/>
      <c r="J17" s="139" t="s">
        <v>368</v>
      </c>
      <c r="K17" s="6">
        <v>0.15</v>
      </c>
      <c r="O17" s="425">
        <f>E16</f>
        <v>14</v>
      </c>
      <c r="P17" s="205"/>
      <c r="R17" s="159" t="s">
        <v>16</v>
      </c>
      <c r="S17" s="181" t="s">
        <v>108</v>
      </c>
      <c r="U17" s="74"/>
      <c r="V17" s="76"/>
      <c r="W17" s="76"/>
      <c r="X17" s="76"/>
      <c r="Y17" s="76"/>
      <c r="Z17" s="449">
        <f>K19</f>
        <v>13.4</v>
      </c>
      <c r="AA17" s="433"/>
      <c r="AB17" s="76"/>
      <c r="AF17" s="151" t="s">
        <v>403</v>
      </c>
      <c r="AG17" s="151"/>
      <c r="AH17" s="151"/>
      <c r="AI17" s="151"/>
      <c r="AJ17" s="151"/>
      <c r="AS17" s="76"/>
    </row>
    <row r="18" spans="2:45" ht="15" customHeight="1" x14ac:dyDescent="0.2">
      <c r="B18" s="56" t="s">
        <v>114</v>
      </c>
      <c r="C18" s="139" t="s">
        <v>132</v>
      </c>
      <c r="D18" s="247" t="s">
        <v>10</v>
      </c>
      <c r="E18" s="6">
        <v>0.9</v>
      </c>
      <c r="F18" s="56"/>
      <c r="G18" s="26" t="s">
        <v>220</v>
      </c>
      <c r="H18" s="6">
        <v>7.5</v>
      </c>
      <c r="I18" s="56"/>
      <c r="J18" s="26" t="s">
        <v>367</v>
      </c>
      <c r="K18" s="61">
        <v>0.2</v>
      </c>
      <c r="L18" s="243" t="s">
        <v>136</v>
      </c>
      <c r="M18" s="406"/>
      <c r="O18" s="426"/>
      <c r="P18" s="205"/>
      <c r="S18" s="2"/>
      <c r="U18" s="76"/>
      <c r="V18" s="76"/>
      <c r="W18" s="76"/>
      <c r="X18" s="76"/>
      <c r="Y18" s="76"/>
      <c r="Z18" s="450"/>
      <c r="AA18" s="433"/>
      <c r="AB18" s="76"/>
      <c r="AE18" s="151"/>
      <c r="AG18" s="151"/>
      <c r="AH18" s="151"/>
      <c r="AI18" s="151"/>
      <c r="AJ18" s="151"/>
      <c r="AS18" s="76"/>
    </row>
    <row r="19" spans="2:45" ht="15" customHeight="1" x14ac:dyDescent="0.2">
      <c r="B19" s="56"/>
      <c r="C19" s="139" t="s">
        <v>133</v>
      </c>
      <c r="D19" s="247" t="s">
        <v>10</v>
      </c>
      <c r="E19" s="6">
        <v>0.9</v>
      </c>
      <c r="F19" s="56"/>
      <c r="G19" s="139" t="s">
        <v>221</v>
      </c>
      <c r="H19" s="6">
        <v>1.75</v>
      </c>
      <c r="I19" s="56"/>
      <c r="J19" s="139" t="s">
        <v>189</v>
      </c>
      <c r="K19" s="27">
        <f>ABS(E16)-ABS(K13)-ABS(K14)</f>
        <v>13.4</v>
      </c>
      <c r="L19" s="56" t="s">
        <v>1</v>
      </c>
      <c r="M19" s="407"/>
      <c r="O19" s="426"/>
      <c r="P19" s="204"/>
      <c r="Q19" s="74"/>
      <c r="R19" s="74"/>
      <c r="S19" s="157"/>
      <c r="U19" s="76"/>
      <c r="V19" s="76"/>
      <c r="W19" s="76"/>
      <c r="X19" s="76"/>
      <c r="Y19" s="76"/>
      <c r="Z19" s="450"/>
      <c r="AA19" s="430" t="s">
        <v>94</v>
      </c>
      <c r="AB19" s="76"/>
      <c r="AE19" s="151"/>
      <c r="AF19" s="151" t="s">
        <v>177</v>
      </c>
      <c r="AG19" s="151"/>
      <c r="AH19" s="151"/>
      <c r="AI19" s="151"/>
      <c r="AJ19" s="151"/>
      <c r="AS19" s="76"/>
    </row>
    <row r="20" spans="2:45" ht="15" customHeight="1" x14ac:dyDescent="0.2">
      <c r="B20" s="56"/>
      <c r="C20" s="139" t="s">
        <v>134</v>
      </c>
      <c r="D20" s="247" t="s">
        <v>10</v>
      </c>
      <c r="E20" s="6">
        <v>0.85</v>
      </c>
      <c r="F20" s="56"/>
      <c r="G20" s="139" t="s">
        <v>222</v>
      </c>
      <c r="H20" s="6">
        <v>1</v>
      </c>
      <c r="I20" s="56"/>
      <c r="J20" s="26" t="s">
        <v>190</v>
      </c>
      <c r="K20" s="20">
        <f>ABS(K12)-ABS(H10)-ABS(K9)</f>
        <v>0.70000000000000007</v>
      </c>
      <c r="L20" s="56" t="s">
        <v>1</v>
      </c>
      <c r="M20" s="407"/>
      <c r="O20" s="246" t="s">
        <v>10</v>
      </c>
      <c r="P20" s="397"/>
      <c r="Q20" s="173"/>
      <c r="R20" s="173"/>
      <c r="S20" s="174"/>
      <c r="U20" s="76"/>
      <c r="V20" s="76"/>
      <c r="W20" s="76"/>
      <c r="X20" s="76"/>
      <c r="Y20" s="76"/>
      <c r="Z20" s="450"/>
      <c r="AA20" s="431"/>
      <c r="AB20" s="154"/>
      <c r="AE20" s="151"/>
      <c r="AF20" s="151" t="s">
        <v>178</v>
      </c>
      <c r="AH20" s="151"/>
      <c r="AI20" s="151"/>
      <c r="AJ20" s="151"/>
      <c r="AS20" s="152"/>
    </row>
    <row r="21" spans="2:45" ht="15" customHeight="1" x14ac:dyDescent="0.2">
      <c r="B21" s="56"/>
      <c r="C21" s="139" t="s">
        <v>237</v>
      </c>
      <c r="D21" s="247" t="s">
        <v>10</v>
      </c>
      <c r="E21" s="6">
        <v>1</v>
      </c>
      <c r="F21" s="56"/>
      <c r="G21" s="139" t="s">
        <v>225</v>
      </c>
      <c r="H21" s="75">
        <v>0</v>
      </c>
      <c r="I21" s="56"/>
      <c r="J21" s="139" t="s">
        <v>206</v>
      </c>
      <c r="K21" s="20">
        <f>ABS(K12)-ABS(K11)</f>
        <v>1.1500000000000001</v>
      </c>
      <c r="L21" s="56" t="s">
        <v>1</v>
      </c>
      <c r="M21" s="407"/>
      <c r="O21" s="76"/>
      <c r="P21" s="205"/>
      <c r="Q21" s="76"/>
      <c r="S21" s="180" t="s">
        <v>109</v>
      </c>
      <c r="U21" s="74"/>
      <c r="V21" s="74"/>
      <c r="W21" s="76"/>
      <c r="X21" s="76"/>
      <c r="Y21" s="76"/>
      <c r="Z21" s="447" t="s">
        <v>187</v>
      </c>
      <c r="AB21" s="76"/>
      <c r="AE21" s="151"/>
      <c r="AS21" s="76"/>
    </row>
    <row r="22" spans="2:45" ht="15" customHeight="1" x14ac:dyDescent="0.2">
      <c r="B22" s="56"/>
      <c r="C22" s="139" t="s">
        <v>347</v>
      </c>
      <c r="D22" s="247" t="s">
        <v>10</v>
      </c>
      <c r="E22" s="6">
        <v>1</v>
      </c>
      <c r="F22" s="56"/>
      <c r="G22" s="26" t="s">
        <v>223</v>
      </c>
      <c r="H22" s="6">
        <v>19.829999999999998</v>
      </c>
      <c r="I22" s="56"/>
      <c r="J22" s="139" t="s">
        <v>205</v>
      </c>
      <c r="K22" s="20">
        <f>ABS(K12)-ABS(K9)</f>
        <v>1.6</v>
      </c>
      <c r="L22" s="56" t="s">
        <v>1</v>
      </c>
      <c r="O22" s="76"/>
      <c r="P22" s="205"/>
      <c r="R22" s="159" t="s">
        <v>92</v>
      </c>
      <c r="S22" s="152"/>
      <c r="U22" s="76"/>
      <c r="W22" s="76"/>
      <c r="X22" s="76"/>
      <c r="Y22" s="76"/>
      <c r="Z22" s="448"/>
      <c r="AB22" s="76"/>
      <c r="AE22" s="151"/>
      <c r="AF22" s="151" t="s">
        <v>96</v>
      </c>
      <c r="AG22" s="151"/>
      <c r="AH22" s="151"/>
      <c r="AI22" s="151"/>
      <c r="AJ22" s="151"/>
      <c r="AS22" s="76"/>
    </row>
    <row r="23" spans="2:45" ht="15" customHeight="1" x14ac:dyDescent="0.2">
      <c r="B23" s="56"/>
      <c r="C23" s="139" t="s">
        <v>135</v>
      </c>
      <c r="D23" s="247" t="s">
        <v>10</v>
      </c>
      <c r="E23" s="6">
        <v>1</v>
      </c>
      <c r="J23" s="139" t="s">
        <v>209</v>
      </c>
      <c r="K23" s="11">
        <f>IF(E14="vu«ng",E15*E15,PI()*E15*E15/4)</f>
        <v>6.25E-2</v>
      </c>
      <c r="L23" s="56" t="s">
        <v>28</v>
      </c>
      <c r="O23" s="76"/>
      <c r="P23" s="204"/>
      <c r="Q23" s="74"/>
      <c r="R23" s="74"/>
      <c r="S23" s="169"/>
      <c r="U23" s="76"/>
      <c r="W23" s="76"/>
      <c r="X23" s="76"/>
      <c r="Y23" s="76"/>
      <c r="Z23" s="448"/>
      <c r="AA23" s="76"/>
      <c r="AB23" s="76"/>
      <c r="AE23" s="151"/>
      <c r="AF23" s="151"/>
      <c r="AG23" s="391" t="s">
        <v>454</v>
      </c>
      <c r="AH23" s="390"/>
      <c r="AI23" s="390"/>
      <c r="AJ23" s="390"/>
      <c r="AK23" s="390"/>
      <c r="AL23" s="390"/>
      <c r="AM23" s="396" t="s">
        <v>459</v>
      </c>
      <c r="AS23" s="76"/>
    </row>
    <row r="24" spans="2:45" ht="15" customHeight="1" x14ac:dyDescent="0.2">
      <c r="B24" s="56" t="s">
        <v>11</v>
      </c>
      <c r="C24" s="139"/>
      <c r="J24" s="139" t="s">
        <v>208</v>
      </c>
      <c r="K24" s="90">
        <f>IF(E14="vu«ng",4*E15,PI()*E15)</f>
        <v>1</v>
      </c>
      <c r="L24" s="56" t="s">
        <v>1</v>
      </c>
      <c r="O24" s="76"/>
      <c r="P24" s="205"/>
      <c r="S24" s="152"/>
      <c r="U24" s="76"/>
      <c r="W24" s="76"/>
      <c r="X24" s="76"/>
      <c r="Y24" s="76"/>
      <c r="Z24" s="448"/>
      <c r="AA24" s="76"/>
      <c r="AB24" s="76"/>
      <c r="AE24" s="151"/>
      <c r="AF24" s="151"/>
      <c r="AG24" s="151" t="s">
        <v>131</v>
      </c>
      <c r="AH24" s="151"/>
      <c r="AI24" s="151"/>
      <c r="AJ24" s="151"/>
      <c r="AS24" s="76"/>
    </row>
    <row r="25" spans="2:45" ht="15" customHeight="1" x14ac:dyDescent="0.2">
      <c r="C25" s="148" t="s">
        <v>191</v>
      </c>
      <c r="F25" s="56"/>
      <c r="J25" s="139" t="s">
        <v>207</v>
      </c>
      <c r="K25" s="256">
        <f>D17*PI()*(E17*E17/4000000)</f>
        <v>1.0178760197630931E-3</v>
      </c>
      <c r="L25" s="56" t="s">
        <v>28</v>
      </c>
      <c r="O25" s="76"/>
      <c r="P25" s="205"/>
      <c r="S25" s="180" t="s">
        <v>110</v>
      </c>
      <c r="U25" s="74"/>
      <c r="V25" s="74"/>
      <c r="W25" s="74"/>
      <c r="X25" s="76"/>
      <c r="Y25" s="76"/>
      <c r="Z25" s="448"/>
      <c r="AA25" s="76"/>
      <c r="AB25" s="76"/>
      <c r="AE25" s="151"/>
      <c r="AF25" s="151" t="s">
        <v>97</v>
      </c>
      <c r="AG25" s="151"/>
      <c r="AH25" s="151"/>
      <c r="AI25" s="151"/>
      <c r="AJ25" s="151" t="s">
        <v>98</v>
      </c>
      <c r="AS25" s="76"/>
    </row>
    <row r="26" spans="2:45" ht="15" customHeight="1" x14ac:dyDescent="0.2">
      <c r="C26" s="468" t="s">
        <v>13</v>
      </c>
      <c r="D26" s="418"/>
      <c r="E26" s="146" t="s">
        <v>19</v>
      </c>
      <c r="F26" s="110" t="s">
        <v>12</v>
      </c>
      <c r="G26" s="146" t="s">
        <v>383</v>
      </c>
      <c r="H26" s="146" t="s">
        <v>32</v>
      </c>
      <c r="I26" s="146" t="s">
        <v>22</v>
      </c>
      <c r="J26" s="107" t="s">
        <v>139</v>
      </c>
      <c r="K26" s="146" t="s">
        <v>140</v>
      </c>
      <c r="O26" s="76"/>
      <c r="P26" s="205"/>
      <c r="R26" s="159" t="s">
        <v>17</v>
      </c>
      <c r="S26" s="152"/>
      <c r="U26" s="76"/>
      <c r="X26" s="76"/>
      <c r="Y26" s="76"/>
      <c r="Z26" s="76"/>
      <c r="AA26" s="76"/>
      <c r="AB26" s="76"/>
      <c r="AE26" s="151"/>
      <c r="AF26" s="151" t="s">
        <v>99</v>
      </c>
      <c r="AG26" s="151"/>
      <c r="AH26" s="151"/>
      <c r="AI26" s="151"/>
      <c r="AJ26" s="151"/>
      <c r="AS26" s="76"/>
    </row>
    <row r="27" spans="2:45" ht="15" customHeight="1" x14ac:dyDescent="0.2">
      <c r="C27" s="466"/>
      <c r="D27" s="467"/>
      <c r="E27" s="147" t="s">
        <v>137</v>
      </c>
      <c r="F27" s="147" t="s">
        <v>57</v>
      </c>
      <c r="G27" s="147" t="s">
        <v>382</v>
      </c>
      <c r="H27" s="147" t="s">
        <v>21</v>
      </c>
      <c r="I27" s="147" t="s">
        <v>138</v>
      </c>
      <c r="J27" s="35" t="s">
        <v>35</v>
      </c>
      <c r="K27" s="147" t="s">
        <v>180</v>
      </c>
      <c r="P27" s="205"/>
      <c r="Q27" s="74"/>
      <c r="R27" s="74"/>
      <c r="S27" s="169"/>
      <c r="U27" s="76"/>
      <c r="X27" s="76"/>
      <c r="Y27" s="76"/>
      <c r="Z27" s="76"/>
      <c r="AA27" s="76"/>
      <c r="AB27" s="76"/>
      <c r="AE27" s="151"/>
      <c r="AF27" s="151" t="s">
        <v>100</v>
      </c>
      <c r="AG27" s="151"/>
      <c r="AH27" s="151"/>
      <c r="AI27" s="151"/>
      <c r="AJ27" s="151"/>
      <c r="AS27" s="76"/>
    </row>
    <row r="28" spans="2:45" ht="15" customHeight="1" x14ac:dyDescent="0.2">
      <c r="C28" s="469">
        <v>1</v>
      </c>
      <c r="D28" s="470"/>
      <c r="E28" s="80">
        <v>1.6</v>
      </c>
      <c r="F28" s="80">
        <v>1.78</v>
      </c>
      <c r="G28" s="264">
        <v>0.53</v>
      </c>
      <c r="H28" s="264">
        <v>7.5</v>
      </c>
      <c r="I28" s="81">
        <f>IF(E28&gt;K21,(E28-K21)/2+K21,"SAI.")</f>
        <v>1.375</v>
      </c>
      <c r="J28" s="306">
        <f>IF(Bangtra!AG10=0,Bangtra!AE10,Bangtra!AF10)</f>
        <v>1</v>
      </c>
      <c r="K28" s="81">
        <f>(E28-K21)*J28</f>
        <v>0.44999999999999996</v>
      </c>
      <c r="P28" s="205"/>
      <c r="R28" s="159" t="s">
        <v>18</v>
      </c>
      <c r="S28" s="182" t="s">
        <v>111</v>
      </c>
      <c r="U28" s="74"/>
      <c r="V28" s="74"/>
      <c r="W28" s="74"/>
      <c r="X28" s="74"/>
      <c r="Y28" s="76"/>
      <c r="Z28" s="76"/>
      <c r="AA28" s="76"/>
      <c r="AB28" s="76"/>
      <c r="AF28" s="151"/>
      <c r="AG28" s="151" t="s">
        <v>179</v>
      </c>
      <c r="AH28" s="151"/>
      <c r="AI28" s="151"/>
      <c r="AJ28" s="151"/>
      <c r="AS28" s="76"/>
    </row>
    <row r="29" spans="2:45" ht="15" customHeight="1" x14ac:dyDescent="0.2">
      <c r="C29" s="436">
        <v>2</v>
      </c>
      <c r="D29" s="437"/>
      <c r="E29" s="80">
        <v>0.6</v>
      </c>
      <c r="F29" s="80">
        <v>1.89</v>
      </c>
      <c r="G29" s="264">
        <v>0.54</v>
      </c>
      <c r="H29" s="264">
        <v>11.8</v>
      </c>
      <c r="I29" s="81">
        <f>E28+E29/2</f>
        <v>1.9000000000000001</v>
      </c>
      <c r="J29" s="306">
        <f>IF(Bangtra!AG11=0,Bangtra!AE11,Bangtra!AF11)</f>
        <v>1.2</v>
      </c>
      <c r="K29" s="81">
        <f t="shared" ref="K29:K39" si="0">E29*J29</f>
        <v>0.72</v>
      </c>
      <c r="P29" s="20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6"/>
      <c r="AF29" s="151"/>
      <c r="AG29" s="151" t="s">
        <v>254</v>
      </c>
      <c r="AH29" s="151"/>
      <c r="AI29" s="151"/>
      <c r="AJ29" s="151"/>
      <c r="AS29" s="76"/>
    </row>
    <row r="30" spans="2:45" ht="15" customHeight="1" x14ac:dyDescent="0.2">
      <c r="C30" s="436">
        <v>3</v>
      </c>
      <c r="D30" s="437"/>
      <c r="E30" s="80">
        <v>1.5</v>
      </c>
      <c r="F30" s="80">
        <v>1.81</v>
      </c>
      <c r="G30" s="264">
        <v>0.43</v>
      </c>
      <c r="H30" s="264">
        <v>13</v>
      </c>
      <c r="I30" s="81">
        <f t="shared" ref="I30:I39" si="1">I29+E29/2+E30/2</f>
        <v>2.95</v>
      </c>
      <c r="J30" s="306">
        <f>IF(Bangtra!AG12=0,Bangtra!AE12,Bangtra!AF12)</f>
        <v>2</v>
      </c>
      <c r="K30" s="81">
        <f t="shared" si="0"/>
        <v>3</v>
      </c>
    </row>
    <row r="31" spans="2:45" ht="15" customHeight="1" x14ac:dyDescent="0.25">
      <c r="C31" s="436">
        <v>4</v>
      </c>
      <c r="D31" s="437"/>
      <c r="E31" s="80">
        <v>10.85</v>
      </c>
      <c r="F31" s="80">
        <v>2</v>
      </c>
      <c r="G31" s="264" t="s">
        <v>269</v>
      </c>
      <c r="H31" s="264">
        <v>19.850000000000001</v>
      </c>
      <c r="I31" s="81">
        <f t="shared" si="1"/>
        <v>9.125</v>
      </c>
      <c r="J31" s="306">
        <f>IF(Bangtra!AG13=0,Bangtra!AE13,Bangtra!AF13)</f>
        <v>4.5</v>
      </c>
      <c r="K31" s="81">
        <f t="shared" si="0"/>
        <v>48.824999999999996</v>
      </c>
      <c r="N31" s="214"/>
      <c r="O31" s="231"/>
      <c r="P31" s="214"/>
      <c r="Q31" s="231" t="s">
        <v>174</v>
      </c>
      <c r="R31" s="232">
        <f>H19</f>
        <v>1.75</v>
      </c>
      <c r="S31" s="230"/>
      <c r="T31" s="214"/>
      <c r="U31" s="214"/>
      <c r="V31" s="214"/>
      <c r="W31" s="215"/>
    </row>
    <row r="32" spans="2:45" ht="15" customHeight="1" x14ac:dyDescent="0.2">
      <c r="C32" s="436">
        <v>5</v>
      </c>
      <c r="D32" s="437"/>
      <c r="E32" s="80">
        <v>0</v>
      </c>
      <c r="F32" s="80">
        <v>0</v>
      </c>
      <c r="G32" s="264" t="s">
        <v>281</v>
      </c>
      <c r="H32" s="264">
        <v>0</v>
      </c>
      <c r="I32" s="81">
        <f t="shared" si="1"/>
        <v>14.55</v>
      </c>
      <c r="J32" s="306">
        <f>IF(Bangtra!AG14=0,Bangtra!AE14,Bangtra!AF14)</f>
        <v>0</v>
      </c>
      <c r="K32" s="81">
        <f t="shared" si="0"/>
        <v>0</v>
      </c>
      <c r="N32" s="76"/>
      <c r="O32" s="74"/>
      <c r="P32" s="78"/>
      <c r="Q32" s="74"/>
      <c r="R32" s="125"/>
      <c r="S32" s="211" t="s">
        <v>89</v>
      </c>
      <c r="T32" s="76"/>
      <c r="U32" s="78"/>
      <c r="V32" s="76"/>
      <c r="W32" s="217"/>
    </row>
    <row r="33" spans="1:36" ht="15" customHeight="1" x14ac:dyDescent="0.2">
      <c r="C33" s="436">
        <v>6</v>
      </c>
      <c r="D33" s="437"/>
      <c r="E33" s="80">
        <v>0</v>
      </c>
      <c r="F33" s="80">
        <v>0</v>
      </c>
      <c r="G33" s="264" t="s">
        <v>281</v>
      </c>
      <c r="H33" s="264">
        <v>0</v>
      </c>
      <c r="I33" s="81">
        <f t="shared" si="1"/>
        <v>14.55</v>
      </c>
      <c r="J33" s="306">
        <f>IF(Bangtra!AG15=0,Bangtra!AE15,Bangtra!AF15)</f>
        <v>0</v>
      </c>
      <c r="K33" s="81">
        <f t="shared" si="0"/>
        <v>0</v>
      </c>
      <c r="N33" s="76"/>
      <c r="O33" s="206"/>
      <c r="P33" s="173"/>
      <c r="Q33" s="173"/>
      <c r="R33" s="173"/>
      <c r="S33" s="173"/>
      <c r="T33" s="173"/>
      <c r="U33" s="187"/>
      <c r="V33" s="76"/>
      <c r="W33" s="217"/>
    </row>
    <row r="34" spans="1:36" ht="15" customHeight="1" x14ac:dyDescent="0.2">
      <c r="C34" s="436">
        <v>7</v>
      </c>
      <c r="D34" s="437"/>
      <c r="E34" s="80">
        <v>0</v>
      </c>
      <c r="F34" s="80">
        <v>0</v>
      </c>
      <c r="G34" s="264" t="s">
        <v>281</v>
      </c>
      <c r="H34" s="264">
        <v>0</v>
      </c>
      <c r="I34" s="81">
        <f t="shared" si="1"/>
        <v>14.55</v>
      </c>
      <c r="J34" s="306">
        <f>IF(Bangtra!AG16=0,Bangtra!AE16,Bangtra!AF16)</f>
        <v>0</v>
      </c>
      <c r="K34" s="81">
        <f t="shared" si="0"/>
        <v>0</v>
      </c>
      <c r="N34" s="76"/>
      <c r="O34" s="235"/>
      <c r="P34" s="169" t="s">
        <v>42</v>
      </c>
      <c r="Q34" s="158">
        <f>E15</f>
        <v>0.25</v>
      </c>
      <c r="R34" s="76"/>
      <c r="U34" s="77"/>
      <c r="V34" s="76"/>
      <c r="W34" s="224"/>
    </row>
    <row r="35" spans="1:36" ht="15" customHeight="1" x14ac:dyDescent="0.2">
      <c r="C35" s="436">
        <v>8</v>
      </c>
      <c r="D35" s="437"/>
      <c r="E35" s="80">
        <v>0</v>
      </c>
      <c r="F35" s="80">
        <v>0</v>
      </c>
      <c r="G35" s="264" t="s">
        <v>281</v>
      </c>
      <c r="H35" s="264">
        <v>0</v>
      </c>
      <c r="I35" s="81">
        <f t="shared" si="1"/>
        <v>14.55</v>
      </c>
      <c r="J35" s="306">
        <f>IF(Bangtra!AG17=0,Bangtra!AE17,Bangtra!AF17)</f>
        <v>0</v>
      </c>
      <c r="K35" s="81">
        <f t="shared" si="0"/>
        <v>0</v>
      </c>
      <c r="N35" s="76"/>
      <c r="O35" s="179"/>
      <c r="P35" s="209"/>
      <c r="Q35" s="76"/>
      <c r="T35" s="210"/>
      <c r="U35" s="77"/>
      <c r="V35" s="76"/>
      <c r="W35" s="217"/>
      <c r="AE35" s="151"/>
    </row>
    <row r="36" spans="1:36" ht="15" customHeight="1" x14ac:dyDescent="0.2">
      <c r="C36" s="436">
        <v>9</v>
      </c>
      <c r="D36" s="437"/>
      <c r="E36" s="80">
        <v>0</v>
      </c>
      <c r="F36" s="80">
        <v>0</v>
      </c>
      <c r="G36" s="264" t="s">
        <v>281</v>
      </c>
      <c r="H36" s="264">
        <v>0</v>
      </c>
      <c r="I36" s="81">
        <f t="shared" si="1"/>
        <v>14.55</v>
      </c>
      <c r="J36" s="306">
        <f>IF(Bangtra!AG18=0,Bangtra!AE18,Bangtra!AF18)</f>
        <v>0</v>
      </c>
      <c r="K36" s="81">
        <f t="shared" si="0"/>
        <v>0</v>
      </c>
      <c r="M36" s="456">
        <f>F63</f>
        <v>3.0439079742706867</v>
      </c>
      <c r="N36" s="458">
        <f>H9</f>
        <v>1.25</v>
      </c>
      <c r="O36" s="179"/>
      <c r="P36" s="173"/>
      <c r="Q36" s="76"/>
      <c r="T36" s="173"/>
      <c r="U36" s="77"/>
      <c r="V36" s="76"/>
      <c r="W36" s="434">
        <f>H20</f>
        <v>1</v>
      </c>
      <c r="X36" s="216"/>
      <c r="AE36" s="151"/>
    </row>
    <row r="37" spans="1:36" ht="15" customHeight="1" x14ac:dyDescent="0.2">
      <c r="C37" s="436">
        <v>10</v>
      </c>
      <c r="D37" s="437"/>
      <c r="E37" s="80">
        <v>0</v>
      </c>
      <c r="F37" s="80">
        <v>0</v>
      </c>
      <c r="G37" s="264" t="s">
        <v>281</v>
      </c>
      <c r="H37" s="264">
        <v>0</v>
      </c>
      <c r="I37" s="81">
        <f>I36+E36/2+E37/2</f>
        <v>14.55</v>
      </c>
      <c r="J37" s="306">
        <f>IF(Bangtra!AG19=0,Bangtra!AE19,Bangtra!AF19)</f>
        <v>0</v>
      </c>
      <c r="K37" s="81">
        <f t="shared" si="0"/>
        <v>0</v>
      </c>
      <c r="M37" s="457"/>
      <c r="N37" s="459"/>
      <c r="O37" s="179"/>
      <c r="Q37" s="427">
        <f>H12</f>
        <v>0.32</v>
      </c>
      <c r="R37" s="207"/>
      <c r="S37" s="465"/>
      <c r="T37" s="76"/>
      <c r="U37" s="77"/>
      <c r="V37" s="76"/>
      <c r="W37" s="435"/>
      <c r="X37" s="216"/>
    </row>
    <row r="38" spans="1:36" ht="15" customHeight="1" x14ac:dyDescent="0.2">
      <c r="C38" s="436">
        <v>11</v>
      </c>
      <c r="D38" s="437"/>
      <c r="E38" s="80">
        <v>0</v>
      </c>
      <c r="F38" s="80">
        <v>0</v>
      </c>
      <c r="G38" s="264" t="s">
        <v>281</v>
      </c>
      <c r="H38" s="264">
        <v>0</v>
      </c>
      <c r="I38" s="81">
        <f>I37+E37/2+E38/2</f>
        <v>14.55</v>
      </c>
      <c r="J38" s="306">
        <f>IF(Bangtra!AG20=0,Bangtra!AE20,Bangtra!AF20)</f>
        <v>0</v>
      </c>
      <c r="K38" s="81">
        <f t="shared" si="0"/>
        <v>0</v>
      </c>
      <c r="M38" s="457"/>
      <c r="N38" s="459"/>
      <c r="O38" s="179"/>
      <c r="Q38" s="427"/>
      <c r="R38" s="208"/>
      <c r="S38" s="465"/>
      <c r="T38" s="76"/>
      <c r="U38" s="77"/>
      <c r="V38" s="212" t="s">
        <v>90</v>
      </c>
      <c r="W38" s="435"/>
      <c r="X38" s="216"/>
      <c r="Y38" s="153"/>
    </row>
    <row r="39" spans="1:36" ht="15" customHeight="1" x14ac:dyDescent="0.2">
      <c r="C39" s="461">
        <v>12</v>
      </c>
      <c r="D39" s="462"/>
      <c r="E39" s="82">
        <v>0</v>
      </c>
      <c r="F39" s="82">
        <v>0</v>
      </c>
      <c r="G39" s="265" t="s">
        <v>281</v>
      </c>
      <c r="H39" s="265">
        <v>0</v>
      </c>
      <c r="I39" s="83">
        <f t="shared" si="1"/>
        <v>14.55</v>
      </c>
      <c r="J39" s="363">
        <f>IF(Bangtra!AG21=0,Bangtra!AE21,Bangtra!AF21)</f>
        <v>0</v>
      </c>
      <c r="K39" s="81">
        <f t="shared" si="0"/>
        <v>0</v>
      </c>
      <c r="M39" s="455" t="s">
        <v>173</v>
      </c>
      <c r="N39" s="460" t="s">
        <v>5</v>
      </c>
      <c r="O39" s="179"/>
      <c r="P39" s="74"/>
      <c r="Q39" s="152" t="s">
        <v>129</v>
      </c>
      <c r="R39" s="102">
        <f>H11</f>
        <v>0.7</v>
      </c>
      <c r="T39" s="74"/>
      <c r="U39" s="77"/>
      <c r="V39" s="76"/>
      <c r="W39" s="453" t="s">
        <v>93</v>
      </c>
      <c r="X39" s="216"/>
      <c r="AB39" s="63"/>
    </row>
    <row r="40" spans="1:36" ht="15" customHeight="1" x14ac:dyDescent="0.2">
      <c r="C40" s="463"/>
      <c r="D40" s="464"/>
      <c r="E40" s="84">
        <f>SUM(E28:E39)</f>
        <v>14.55</v>
      </c>
      <c r="F40" s="85"/>
      <c r="G40" s="9"/>
      <c r="H40" s="394"/>
      <c r="I40" s="84">
        <f>I39+E39/2</f>
        <v>14.55</v>
      </c>
      <c r="J40" s="364"/>
      <c r="K40" s="84">
        <f>SUM(K28:K39)</f>
        <v>52.994999999999997</v>
      </c>
      <c r="M40" s="455"/>
      <c r="N40" s="460"/>
      <c r="O40" s="179"/>
      <c r="P40" s="209"/>
      <c r="Q40" s="76"/>
      <c r="R40" s="76"/>
      <c r="S40" s="76"/>
      <c r="T40" s="209"/>
      <c r="U40" s="77"/>
      <c r="V40" s="213"/>
      <c r="W40" s="454"/>
      <c r="X40" s="216"/>
      <c r="Y40" s="101"/>
      <c r="AB40" s="63"/>
    </row>
    <row r="41" spans="1:36" ht="15" customHeight="1" x14ac:dyDescent="0.2">
      <c r="C41" s="451" t="s">
        <v>20</v>
      </c>
      <c r="D41" s="452"/>
      <c r="E41" s="392" t="str">
        <f>IF(I41=E40," ",I41-E40)</f>
        <v xml:space="preserve"> </v>
      </c>
      <c r="F41" s="86">
        <v>2</v>
      </c>
      <c r="G41" s="266" t="s">
        <v>269</v>
      </c>
      <c r="H41" s="395">
        <f>H22</f>
        <v>19.829999999999998</v>
      </c>
      <c r="I41" s="87">
        <f>ABS(E16+K20+H10-K14-K11-K13)</f>
        <v>14.55</v>
      </c>
      <c r="J41" s="361">
        <f>IF(Bangtra!AG25=0,Bangtra!AE25,Bangtra!AF25)</f>
        <v>287</v>
      </c>
      <c r="K41" s="88"/>
      <c r="N41" s="76"/>
      <c r="O41" s="179"/>
      <c r="U41" s="77"/>
      <c r="V41" s="76"/>
      <c r="W41" s="217"/>
      <c r="AG41" s="136"/>
      <c r="AH41" s="136"/>
      <c r="AI41" s="136"/>
      <c r="AJ41" s="136"/>
    </row>
    <row r="42" spans="1:36" ht="15" customHeight="1" x14ac:dyDescent="0.2">
      <c r="E42" s="248" t="str">
        <f>IF(I41&lt;&gt;E40,"SAI, xem l¹i li"," ")</f>
        <v xml:space="preserve"> </v>
      </c>
      <c r="N42" s="76"/>
      <c r="O42" s="234"/>
      <c r="P42" s="74"/>
      <c r="Q42" s="169" t="s">
        <v>6</v>
      </c>
      <c r="R42" s="229">
        <f>H8</f>
        <v>2</v>
      </c>
      <c r="S42" s="74"/>
      <c r="T42" s="74"/>
      <c r="U42" s="79"/>
      <c r="V42" s="76"/>
      <c r="W42" s="217"/>
    </row>
    <row r="43" spans="1:36" ht="15" customHeight="1" x14ac:dyDescent="0.2">
      <c r="C43" s="145" t="s">
        <v>31</v>
      </c>
      <c r="D43" s="76"/>
      <c r="G43" s="222" t="s">
        <v>120</v>
      </c>
      <c r="H43" s="251">
        <f>(H28*E28+H29*E29+H30*E30+H31*E31+H32*E32+H33*E33+H34*E34+H35*E35+H36*E36+H37*E37+H38*E38+H39*E39)/(SUM(E28:E39))</f>
        <v>17.45378006872852</v>
      </c>
      <c r="J43" s="142" t="s">
        <v>121</v>
      </c>
      <c r="K43" s="251">
        <f>H43/4</f>
        <v>4.36344501718213</v>
      </c>
      <c r="N43" s="76"/>
      <c r="O43" s="233"/>
      <c r="P43" s="173"/>
      <c r="Q43" s="227"/>
      <c r="R43" s="228"/>
      <c r="S43" s="211" t="s">
        <v>89</v>
      </c>
      <c r="T43" s="173"/>
      <c r="U43" s="76"/>
      <c r="V43" s="76"/>
      <c r="W43" s="217"/>
    </row>
    <row r="44" spans="1:36" ht="15" customHeight="1" x14ac:dyDescent="0.2">
      <c r="C44" s="132" t="s">
        <v>192</v>
      </c>
      <c r="G44" s="222" t="s">
        <v>119</v>
      </c>
      <c r="H44" s="98">
        <f>(F28*E28+F29*E29+F30*E30+F31*E31+F32*E32+F33*E33+F34*E34+F35*E35+F36*E36+F37*E37+F38*E38+F39*E39)/(SUM(E28:E39))</f>
        <v>1.9516838487972508</v>
      </c>
      <c r="I44" s="56" t="s">
        <v>30</v>
      </c>
      <c r="J44" s="26" t="s">
        <v>33</v>
      </c>
      <c r="K44" s="19">
        <f>TAN(K43*3.14/180)</f>
        <v>7.6265222920548006E-2</v>
      </c>
      <c r="N44" s="218"/>
      <c r="O44" s="218"/>
      <c r="P44" s="218"/>
      <c r="Q44" s="225" t="s">
        <v>175</v>
      </c>
      <c r="R44" s="226">
        <f>F62</f>
        <v>3.7939079742706867</v>
      </c>
      <c r="S44" s="219"/>
      <c r="T44" s="218"/>
      <c r="U44" s="218"/>
      <c r="V44" s="218"/>
      <c r="W44" s="220"/>
    </row>
    <row r="45" spans="1:36" ht="15" customHeight="1" x14ac:dyDescent="0.2">
      <c r="C45" s="17"/>
      <c r="G45" s="1"/>
      <c r="H45" s="64"/>
      <c r="J45" s="18"/>
      <c r="K45" s="3"/>
      <c r="N45" s="76"/>
      <c r="O45" s="76"/>
      <c r="P45" s="76"/>
      <c r="Q45" s="76"/>
      <c r="R45" s="223" t="s">
        <v>166</v>
      </c>
      <c r="S45" s="76"/>
      <c r="T45" s="76"/>
      <c r="U45" s="76"/>
      <c r="V45" s="76"/>
      <c r="W45" s="76"/>
    </row>
    <row r="46" spans="1:36" ht="15" customHeight="1" x14ac:dyDescent="0.2">
      <c r="A46" s="413" t="s">
        <v>124</v>
      </c>
      <c r="B46" s="184" t="s">
        <v>227</v>
      </c>
      <c r="G46" s="18" t="str">
        <f>E2</f>
        <v>VÞ trÝ:</v>
      </c>
      <c r="H46" s="183" t="str">
        <f>F2</f>
        <v>Mãng cäc §C-4, HK K13</v>
      </c>
      <c r="K46" s="252" t="str">
        <f>K1</f>
        <v>CoIns-404-9(C) - PILE99</v>
      </c>
      <c r="M46" s="408"/>
    </row>
    <row r="47" spans="1:36" ht="15" customHeight="1" x14ac:dyDescent="0.2">
      <c r="C47" s="26"/>
      <c r="D47" s="247"/>
      <c r="F47" s="139" t="s">
        <v>228</v>
      </c>
      <c r="G47" s="19">
        <f>(TAN((45-H18/2)*3.14/180))*SQRT(E10/(H17*H9))</f>
        <v>1.0969935982461889</v>
      </c>
      <c r="H47" s="262" t="s">
        <v>1</v>
      </c>
      <c r="I47" s="258"/>
      <c r="L47" s="89"/>
    </row>
    <row r="48" spans="1:36" ht="15" customHeight="1" x14ac:dyDescent="0.2">
      <c r="C48" s="26" t="s">
        <v>226</v>
      </c>
      <c r="D48" s="247" t="s">
        <v>10</v>
      </c>
      <c r="E48" s="63">
        <f>K21</f>
        <v>1.1500000000000001</v>
      </c>
      <c r="F48" s="140" t="str">
        <f>IF(E48=G48,"= H =",IF(E48&gt;G48,"&gt; H =","&lt; H ="))</f>
        <v>&gt; H =</v>
      </c>
      <c r="G48" s="19">
        <f>0.7*G47</f>
        <v>0.7678955187723322</v>
      </c>
      <c r="H48" s="70" t="str">
        <f>IF(F48="&lt; H =","ch­a ®¹t.","®¹t.")</f>
        <v>®¹t.</v>
      </c>
    </row>
    <row r="49" spans="1:17" ht="15" customHeight="1" x14ac:dyDescent="0.2">
      <c r="A49" s="413" t="s">
        <v>125</v>
      </c>
      <c r="B49" s="184" t="s">
        <v>116</v>
      </c>
      <c r="G49" s="144" t="s">
        <v>240</v>
      </c>
      <c r="J49" s="139" t="s">
        <v>244</v>
      </c>
      <c r="K49" s="21">
        <f>E18*(E19*E13*10*K25+E20*E12*10*K23)</f>
        <v>85.241678128226951</v>
      </c>
      <c r="L49" s="260" t="s">
        <v>7</v>
      </c>
    </row>
    <row r="50" spans="1:17" ht="15" customHeight="1" x14ac:dyDescent="0.2">
      <c r="A50" s="413" t="s">
        <v>126</v>
      </c>
      <c r="B50" s="184" t="str">
        <f>IF(O52&lt;0,"Søc chÞu t¶i cña cäc lÊy theo thiÕt kÕ:","Søc chÞu t¶i cña cäc theo sè liÖu khoan:")</f>
        <v>Søc chÞu t¶i cña cäc theo sè liÖu khoan:</v>
      </c>
      <c r="G50" s="144" t="s">
        <v>348</v>
      </c>
      <c r="H50" s="261"/>
      <c r="J50" s="139" t="s">
        <v>165</v>
      </c>
      <c r="K50" s="91">
        <f>IF(O52&lt;0,ABS(O52),E21*(E22*J41*K23+K24*E23*K40))</f>
        <v>70.932500000000005</v>
      </c>
      <c r="L50" s="260" t="s">
        <v>238</v>
      </c>
      <c r="N50" s="12" t="s">
        <v>246</v>
      </c>
    </row>
    <row r="51" spans="1:17" ht="15" customHeight="1" x14ac:dyDescent="0.2">
      <c r="B51" s="255" t="s">
        <v>242</v>
      </c>
      <c r="F51" s="139" t="s">
        <v>372</v>
      </c>
      <c r="G51" s="6">
        <v>1.4</v>
      </c>
      <c r="J51" s="139" t="s">
        <v>239</v>
      </c>
      <c r="K51" s="63">
        <f>MIN(K49,K50)</f>
        <v>70.932500000000005</v>
      </c>
      <c r="L51" s="56" t="s">
        <v>7</v>
      </c>
      <c r="N51" s="151" t="s">
        <v>248</v>
      </c>
      <c r="O51" s="151"/>
      <c r="P51" s="151"/>
    </row>
    <row r="52" spans="1:17" ht="15" customHeight="1" x14ac:dyDescent="0.2">
      <c r="D52" s="247"/>
      <c r="F52" s="139" t="s">
        <v>241</v>
      </c>
      <c r="G52" s="296">
        <f>K51/G51</f>
        <v>50.666071428571435</v>
      </c>
      <c r="H52" s="56" t="s">
        <v>7</v>
      </c>
      <c r="N52" s="18" t="s">
        <v>247</v>
      </c>
      <c r="O52" s="423">
        <v>0</v>
      </c>
      <c r="P52" s="424"/>
      <c r="Q52" s="151" t="s">
        <v>91</v>
      </c>
    </row>
    <row r="53" spans="1:17" ht="15" customHeight="1" x14ac:dyDescent="0.2">
      <c r="A53" s="413" t="s">
        <v>127</v>
      </c>
      <c r="B53" s="184" t="s">
        <v>243</v>
      </c>
      <c r="C53" s="92"/>
      <c r="G53" s="253" t="s">
        <v>256</v>
      </c>
      <c r="H53" s="91"/>
      <c r="N53" s="12" t="s">
        <v>245</v>
      </c>
    </row>
    <row r="54" spans="1:17" ht="15" customHeight="1" x14ac:dyDescent="0.2">
      <c r="B54" s="144" t="s">
        <v>259</v>
      </c>
      <c r="G54" s="1"/>
      <c r="H54" s="91"/>
      <c r="J54" s="139" t="s">
        <v>141</v>
      </c>
      <c r="K54" s="75">
        <v>5</v>
      </c>
      <c r="L54" s="56" t="s">
        <v>7</v>
      </c>
      <c r="M54" s="409"/>
      <c r="N54" s="12" t="s">
        <v>249</v>
      </c>
    </row>
    <row r="55" spans="1:17" ht="15" customHeight="1" x14ac:dyDescent="0.2">
      <c r="B55" s="144" t="s">
        <v>260</v>
      </c>
      <c r="C55" s="92"/>
      <c r="G55" s="1"/>
      <c r="H55" s="91"/>
      <c r="J55" s="139" t="s">
        <v>204</v>
      </c>
      <c r="K55" s="63">
        <f>H8*H9*H10*E11+H8*H9*K20*H17</f>
        <v>9.02</v>
      </c>
      <c r="L55" s="56" t="s">
        <v>7</v>
      </c>
      <c r="M55" s="409"/>
      <c r="N55" s="12" t="s">
        <v>252</v>
      </c>
    </row>
    <row r="56" spans="1:17" ht="15" customHeight="1" x14ac:dyDescent="0.2">
      <c r="B56" s="144" t="s">
        <v>261</v>
      </c>
      <c r="C56" s="92"/>
      <c r="G56" s="1"/>
      <c r="J56" s="139" t="s">
        <v>163</v>
      </c>
      <c r="K56" s="91">
        <f>E8+K54+K55</f>
        <v>178.15600000000001</v>
      </c>
      <c r="L56" s="56" t="s">
        <v>7</v>
      </c>
      <c r="M56" s="409"/>
    </row>
    <row r="57" spans="1:17" ht="15" customHeight="1" x14ac:dyDescent="0.2">
      <c r="C57" s="99" t="s">
        <v>161</v>
      </c>
      <c r="D57" s="56" t="s">
        <v>27</v>
      </c>
      <c r="E57" s="239">
        <f>K56/H13+K57*H14/H15</f>
        <v>38.665999999999997</v>
      </c>
      <c r="F57" s="140" t="str">
        <f>IF(E57=G52,"= [P] =",IF(E57&gt;G52,"&gt; [P] =","&lt; [P] ="))</f>
        <v>&lt; [P] =</v>
      </c>
      <c r="G57" s="19">
        <f>G52</f>
        <v>50.666071428571435</v>
      </c>
      <c r="H57" s="70" t="str">
        <f>IF(F57="&gt; [P] =","ch­a ®¹t.","®¹t.")</f>
        <v>®¹t.</v>
      </c>
      <c r="J57" s="139" t="s">
        <v>164</v>
      </c>
      <c r="K57" s="91">
        <f>E9+E10*H10</f>
        <v>13.459999999999999</v>
      </c>
      <c r="L57" s="56" t="s">
        <v>7</v>
      </c>
      <c r="M57" s="409"/>
    </row>
    <row r="58" spans="1:17" ht="15" customHeight="1" x14ac:dyDescent="0.2">
      <c r="C58" s="99" t="s">
        <v>162</v>
      </c>
      <c r="D58" s="56" t="s">
        <v>27</v>
      </c>
      <c r="E58" s="240">
        <f>K56/H13-K57*H14/H15</f>
        <v>20.719333333333335</v>
      </c>
      <c r="F58" s="140" t="str">
        <f>IF(E58&gt;0,"&gt; 0","&lt; 0")</f>
        <v>&gt; 0</v>
      </c>
      <c r="H58" s="70" t="str">
        <f>IF(F58="&gt; 0","®¹t.","xem l¹i.")</f>
        <v>®¹t.</v>
      </c>
    </row>
    <row r="60" spans="1:17" ht="15" customHeight="1" x14ac:dyDescent="0.2">
      <c r="A60" s="413" t="s">
        <v>122</v>
      </c>
      <c r="B60" s="185" t="s">
        <v>266</v>
      </c>
    </row>
    <row r="61" spans="1:17" ht="15" customHeight="1" x14ac:dyDescent="0.2">
      <c r="B61" s="56" t="s">
        <v>56</v>
      </c>
    </row>
    <row r="62" spans="1:17" ht="15" customHeight="1" x14ac:dyDescent="0.2">
      <c r="E62" s="139" t="s">
        <v>142</v>
      </c>
      <c r="F62" s="19">
        <f>H19+2*K19*K44</f>
        <v>3.7939079742706867</v>
      </c>
      <c r="G62" s="56" t="s">
        <v>1</v>
      </c>
      <c r="J62" s="139" t="s">
        <v>144</v>
      </c>
      <c r="K62" s="63">
        <f>F62*F63</f>
        <v>11.548306736531691</v>
      </c>
      <c r="L62" s="56" t="s">
        <v>28</v>
      </c>
      <c r="M62" s="409"/>
      <c r="N62" s="151" t="s">
        <v>250</v>
      </c>
    </row>
    <row r="63" spans="1:17" ht="15" customHeight="1" x14ac:dyDescent="0.2">
      <c r="E63" s="139" t="s">
        <v>143</v>
      </c>
      <c r="F63" s="19">
        <f>H20+2*K19*K44</f>
        <v>3.0439079742706867</v>
      </c>
      <c r="G63" s="56" t="s">
        <v>1</v>
      </c>
      <c r="J63" s="139" t="s">
        <v>145</v>
      </c>
      <c r="K63" s="63">
        <f>F63*F62*F62/6</f>
        <v>7.302202169508579</v>
      </c>
      <c r="L63" s="56" t="s">
        <v>34</v>
      </c>
      <c r="M63" s="409"/>
    </row>
    <row r="64" spans="1:17" ht="15" customHeight="1" x14ac:dyDescent="0.2">
      <c r="B64" s="189" t="s">
        <v>262</v>
      </c>
      <c r="J64" s="143" t="s">
        <v>258</v>
      </c>
      <c r="K64" s="63">
        <f>(E11+H17)*K22*K62/2</f>
        <v>41.019585528160562</v>
      </c>
      <c r="L64" s="56" t="s">
        <v>7</v>
      </c>
      <c r="M64" s="409"/>
    </row>
    <row r="65" spans="1:31" ht="15" customHeight="1" x14ac:dyDescent="0.2">
      <c r="B65" s="189" t="s">
        <v>263</v>
      </c>
      <c r="J65" s="143" t="s">
        <v>146</v>
      </c>
      <c r="K65" s="63">
        <f>H44*K19*K62</f>
        <v>302.01782609784823</v>
      </c>
      <c r="L65" s="56" t="s">
        <v>7</v>
      </c>
      <c r="M65" s="409"/>
    </row>
    <row r="66" spans="1:31" ht="15" customHeight="1" x14ac:dyDescent="0.2">
      <c r="F66" s="1" t="s">
        <v>455</v>
      </c>
      <c r="G66" s="10">
        <v>2</v>
      </c>
      <c r="J66" s="139" t="s">
        <v>456</v>
      </c>
      <c r="K66" s="63">
        <f>E8/G66+K54+K64+K65</f>
        <v>430.10541162600879</v>
      </c>
      <c r="L66" s="12" t="s">
        <v>7</v>
      </c>
      <c r="M66" s="410"/>
      <c r="N66" s="12" t="s">
        <v>251</v>
      </c>
      <c r="AE66" s="16"/>
    </row>
    <row r="67" spans="1:31" ht="15" customHeight="1" x14ac:dyDescent="0.2">
      <c r="J67" s="139" t="s">
        <v>457</v>
      </c>
      <c r="K67" s="63">
        <f>E9/G66+E10*H10/G66</f>
        <v>6.7299999999999995</v>
      </c>
      <c r="L67" s="56" t="s">
        <v>8</v>
      </c>
      <c r="N67" s="12" t="s">
        <v>253</v>
      </c>
    </row>
    <row r="68" spans="1:31" ht="15" customHeight="1" x14ac:dyDescent="0.2">
      <c r="B68" s="56" t="s">
        <v>36</v>
      </c>
      <c r="J68" s="139" t="s">
        <v>194</v>
      </c>
      <c r="K68" s="6">
        <v>1.6</v>
      </c>
      <c r="M68" s="410"/>
      <c r="N68" s="12" t="s">
        <v>255</v>
      </c>
    </row>
    <row r="69" spans="1:31" ht="15" customHeight="1" x14ac:dyDescent="0.2">
      <c r="B69" s="139" t="s">
        <v>198</v>
      </c>
      <c r="C69" s="20">
        <f>MIN(F62,F63)</f>
        <v>3.0439079742706867</v>
      </c>
      <c r="D69" s="56" t="s">
        <v>1</v>
      </c>
      <c r="E69" s="142" t="s">
        <v>196</v>
      </c>
      <c r="F69" s="63">
        <f>F41</f>
        <v>2</v>
      </c>
      <c r="G69" s="139" t="s">
        <v>195</v>
      </c>
      <c r="H69" s="63">
        <f>H21</f>
        <v>0</v>
      </c>
      <c r="I69" s="56" t="s">
        <v>40</v>
      </c>
      <c r="J69" s="139" t="s">
        <v>38</v>
      </c>
      <c r="K69" s="99">
        <f>IF(H22=0,0,PI()*0.25/((1/TAN(H22*PI()/180))+(H22*PI()/180)-PI()/2))</f>
        <v>0.50724757276740662</v>
      </c>
    </row>
    <row r="70" spans="1:31" ht="15" customHeight="1" x14ac:dyDescent="0.2">
      <c r="B70" s="26" t="s">
        <v>193</v>
      </c>
      <c r="C70" s="20">
        <f>K21+K19</f>
        <v>14.55</v>
      </c>
      <c r="D70" s="56" t="s">
        <v>1</v>
      </c>
      <c r="E70" s="142" t="s">
        <v>197</v>
      </c>
      <c r="F70" s="63">
        <f>H44</f>
        <v>1.9516838487972508</v>
      </c>
      <c r="G70" s="142" t="s">
        <v>54</v>
      </c>
      <c r="H70" s="12">
        <f>H22</f>
        <v>19.829999999999998</v>
      </c>
      <c r="I70" s="56" t="s">
        <v>41</v>
      </c>
      <c r="J70" s="139" t="s">
        <v>5</v>
      </c>
      <c r="K70" s="99">
        <f>IF(H22=0,1,(PI()/((1/TAN(H22*PI()/180))+(H22*PI()/180)-PI()/2))+1)</f>
        <v>3.0289902910696265</v>
      </c>
      <c r="Q70" s="18"/>
      <c r="R70" s="175"/>
      <c r="V70" s="149"/>
      <c r="W70" s="149"/>
    </row>
    <row r="71" spans="1:31" ht="15" customHeight="1" x14ac:dyDescent="0.2">
      <c r="F71" s="139" t="s">
        <v>370</v>
      </c>
      <c r="G71" s="20">
        <f>K68*(K69*C69*F41+K70*C70*H44+K71*H21)</f>
        <v>142.56362745417039</v>
      </c>
      <c r="H71" s="56" t="s">
        <v>40</v>
      </c>
      <c r="J71" s="139" t="s">
        <v>37</v>
      </c>
      <c r="K71" s="99">
        <f>IF(H22=0,PI(),(PI()/TAN(H22*PI()/180))/((1/TAN(H22*PI()/180))+(H22*PI()/180)-PI()/2))</f>
        <v>5.6264920638831368</v>
      </c>
      <c r="N71" s="136"/>
      <c r="O71" s="136"/>
      <c r="P71" s="136"/>
    </row>
    <row r="72" spans="1:31" ht="15" customHeight="1" x14ac:dyDescent="0.2">
      <c r="B72" s="56" t="s">
        <v>39</v>
      </c>
      <c r="G72" s="254" t="s">
        <v>257</v>
      </c>
    </row>
    <row r="73" spans="1:31" ht="15" customHeight="1" x14ac:dyDescent="0.2">
      <c r="C73" s="141" t="s">
        <v>147</v>
      </c>
      <c r="D73" s="56" t="s">
        <v>27</v>
      </c>
      <c r="E73" s="236">
        <f>K66/K62</f>
        <v>37.244023858962947</v>
      </c>
      <c r="F73" s="140" t="str">
        <f>IF(E73=G71,"= R =",IF(E73&gt;G71,"&gt; R =","&lt; R ="))</f>
        <v>&lt; R =</v>
      </c>
      <c r="G73" s="20">
        <f>G71</f>
        <v>142.56362745417039</v>
      </c>
      <c r="H73" s="70" t="str">
        <f>IF(F73="&gt; R =","ch­a ®¹t.","®¹t.")</f>
        <v>®¹t.</v>
      </c>
      <c r="J73" s="1"/>
      <c r="K73" s="22"/>
    </row>
    <row r="74" spans="1:31" ht="15" customHeight="1" x14ac:dyDescent="0.2">
      <c r="C74" s="141" t="s">
        <v>148</v>
      </c>
      <c r="D74" s="56" t="s">
        <v>27</v>
      </c>
      <c r="E74" s="237">
        <f>K66/K62+K67/K63</f>
        <v>38.165663638823069</v>
      </c>
      <c r="F74" s="140" t="str">
        <f>IF(E74=1.2*G71,"= 1,2.R =",IF(E74&gt;1.2*G71,"&gt; 1,2.R =","&lt; 1,2.R ="))</f>
        <v>&lt; 1,2.R =</v>
      </c>
      <c r="G74" s="20">
        <f>G71*1.2</f>
        <v>171.07635294500446</v>
      </c>
      <c r="H74" s="70" t="str">
        <f>IF(F74="&gt; 1,2.R =","ch­a ®¹t.","®¹t.")</f>
        <v>®¹t.</v>
      </c>
    </row>
    <row r="75" spans="1:31" ht="15" customHeight="1" x14ac:dyDescent="0.2">
      <c r="C75" s="141" t="s">
        <v>149</v>
      </c>
      <c r="D75" s="56" t="s">
        <v>27</v>
      </c>
      <c r="E75" s="238">
        <f>K66/K62-K67/K63</f>
        <v>36.322384079102825</v>
      </c>
      <c r="F75" s="140" t="str">
        <f>IF(E75&gt;0,"&gt; 0","&lt; 0")</f>
        <v>&gt; 0</v>
      </c>
      <c r="H75" s="70" t="str">
        <f>IF(F75="&gt; 0","®¹t.","xem l¹i.")</f>
        <v>®¹t.</v>
      </c>
    </row>
    <row r="77" spans="1:31" ht="15" customHeight="1" x14ac:dyDescent="0.2">
      <c r="A77" s="413" t="s">
        <v>128</v>
      </c>
      <c r="B77" s="185" t="s">
        <v>265</v>
      </c>
      <c r="C77" s="23"/>
      <c r="E77" s="93"/>
      <c r="F77" s="14"/>
      <c r="H77" s="15"/>
    </row>
    <row r="78" spans="1:31" ht="15" customHeight="1" x14ac:dyDescent="0.2">
      <c r="B78" s="255" t="s">
        <v>62</v>
      </c>
      <c r="D78" s="56" t="s">
        <v>60</v>
      </c>
      <c r="E78" s="93"/>
      <c r="F78" s="14"/>
      <c r="H78" s="15"/>
    </row>
    <row r="79" spans="1:31" ht="15" customHeight="1" x14ac:dyDescent="0.2">
      <c r="B79" s="139" t="s">
        <v>61</v>
      </c>
      <c r="C79" s="6">
        <v>0.25</v>
      </c>
      <c r="D79" s="56" t="s">
        <v>1</v>
      </c>
      <c r="E79" s="56" t="s">
        <v>63</v>
      </c>
    </row>
    <row r="80" spans="1:31" ht="15" customHeight="1" x14ac:dyDescent="0.2">
      <c r="B80" s="139" t="s">
        <v>65</v>
      </c>
      <c r="C80" s="98">
        <f>H10</f>
        <v>0.9</v>
      </c>
      <c r="D80" s="56" t="s">
        <v>1</v>
      </c>
      <c r="E80" s="56" t="s">
        <v>66</v>
      </c>
    </row>
    <row r="81" spans="1:13" ht="15" customHeight="1" x14ac:dyDescent="0.2">
      <c r="B81" s="139" t="s">
        <v>64</v>
      </c>
      <c r="C81" s="19">
        <f>H8/2-H11/2-C79</f>
        <v>0.4</v>
      </c>
      <c r="D81" s="56" t="s">
        <v>1</v>
      </c>
      <c r="E81" s="56" t="s">
        <v>68</v>
      </c>
      <c r="F81" s="14"/>
      <c r="H81" s="103"/>
    </row>
    <row r="82" spans="1:13" ht="15" customHeight="1" x14ac:dyDescent="0.2">
      <c r="C82" s="139" t="s">
        <v>67</v>
      </c>
      <c r="D82" s="56" t="s">
        <v>27</v>
      </c>
      <c r="E82" s="19">
        <f>C81</f>
        <v>0.4</v>
      </c>
      <c r="F82" s="140" t="str">
        <f>IF(E82=C80,"= T =",IF(E82&gt;C80,"&gt; T =","&lt; T ="))</f>
        <v>&lt; T =</v>
      </c>
      <c r="G82" s="20">
        <f>C80</f>
        <v>0.9</v>
      </c>
      <c r="H82" s="70" t="str">
        <f>IF(F82="&gt; T =","ch­a ®¹t, cÇn tÝnh cô thÓ.","®¹t.")</f>
        <v>®¹t.</v>
      </c>
    </row>
    <row r="83" spans="1:13" ht="15" customHeight="1" x14ac:dyDescent="0.2">
      <c r="B83" s="255" t="s">
        <v>267</v>
      </c>
      <c r="C83" s="104"/>
      <c r="D83" s="105"/>
      <c r="E83" s="106" t="s">
        <v>229</v>
      </c>
      <c r="I83" s="26" t="s">
        <v>88</v>
      </c>
      <c r="J83" s="28">
        <f>(H10-K14)*100</f>
        <v>80</v>
      </c>
      <c r="K83" s="56" t="s">
        <v>52</v>
      </c>
    </row>
    <row r="84" spans="1:13" ht="15" customHeight="1" x14ac:dyDescent="0.2">
      <c r="B84" s="104"/>
      <c r="C84" s="104"/>
      <c r="D84" s="104"/>
      <c r="I84" s="139" t="s">
        <v>87</v>
      </c>
      <c r="J84" s="131">
        <f>H16</f>
        <v>2800</v>
      </c>
      <c r="K84" s="56" t="s">
        <v>29</v>
      </c>
    </row>
    <row r="85" spans="1:13" ht="15" customHeight="1" x14ac:dyDescent="0.2">
      <c r="A85" s="414"/>
      <c r="B85" s="440" t="s">
        <v>69</v>
      </c>
      <c r="C85" s="441"/>
      <c r="D85" s="441"/>
      <c r="E85" s="442"/>
      <c r="F85" s="107" t="s">
        <v>70</v>
      </c>
      <c r="G85" s="440" t="s">
        <v>71</v>
      </c>
      <c r="H85" s="441"/>
      <c r="I85" s="442"/>
      <c r="J85" s="443" t="s">
        <v>82</v>
      </c>
      <c r="K85" s="418"/>
    </row>
    <row r="86" spans="1:13" ht="15" customHeight="1" x14ac:dyDescent="0.2">
      <c r="B86" s="31" t="s">
        <v>72</v>
      </c>
      <c r="C86" s="443" t="s">
        <v>73</v>
      </c>
      <c r="D86" s="444"/>
      <c r="E86" s="120" t="s">
        <v>84</v>
      </c>
      <c r="F86" s="108" t="s">
        <v>85</v>
      </c>
      <c r="G86" s="109" t="s">
        <v>86</v>
      </c>
      <c r="H86" s="109" t="s">
        <v>74</v>
      </c>
      <c r="I86" s="110" t="s">
        <v>2</v>
      </c>
      <c r="J86" s="121" t="s">
        <v>81</v>
      </c>
      <c r="K86" s="250">
        <v>0.1</v>
      </c>
    </row>
    <row r="87" spans="1:13" ht="15" customHeight="1" x14ac:dyDescent="0.2">
      <c r="B87" s="111"/>
      <c r="C87" s="445" t="s">
        <v>75</v>
      </c>
      <c r="D87" s="446"/>
      <c r="E87" s="112" t="s">
        <v>83</v>
      </c>
      <c r="F87" s="13"/>
      <c r="G87" s="113" t="s">
        <v>83</v>
      </c>
      <c r="H87" s="114" t="s">
        <v>76</v>
      </c>
      <c r="I87" s="115" t="s">
        <v>77</v>
      </c>
      <c r="J87" s="122" t="s">
        <v>80</v>
      </c>
      <c r="K87" s="116"/>
    </row>
    <row r="88" spans="1:13" ht="15" customHeight="1" x14ac:dyDescent="0.2">
      <c r="B88" s="31" t="s">
        <v>78</v>
      </c>
      <c r="C88" s="417">
        <f>+E57*0.75</f>
        <v>28.999499999999998</v>
      </c>
      <c r="D88" s="418"/>
      <c r="E88" s="59">
        <f>C88*100000/(0.9*J83*H16)</f>
        <v>14.384672619047617</v>
      </c>
      <c r="F88" s="123" t="str">
        <f>IF(E88&gt;G88,"ch­a ®¹t","®¹t")</f>
        <v>®¹t</v>
      </c>
      <c r="G88" s="126">
        <f>(3.14*(I88/20)*(I88/20))*H88</f>
        <v>16.076800000000002</v>
      </c>
      <c r="H88" s="133">
        <v>8</v>
      </c>
      <c r="I88" s="8">
        <v>16</v>
      </c>
      <c r="J88" s="118">
        <f>G88/(H9*J83)</f>
        <v>0.16076800000000002</v>
      </c>
      <c r="K88" s="138" t="str">
        <f>IF(J88&lt;K86,"ch­a ®¹t","®¹t")</f>
        <v>®¹t</v>
      </c>
    </row>
    <row r="89" spans="1:13" ht="15" customHeight="1" x14ac:dyDescent="0.2">
      <c r="B89" s="35" t="s">
        <v>79</v>
      </c>
      <c r="C89" s="419">
        <f>0.375*(E57+E58)/2</f>
        <v>11.13475</v>
      </c>
      <c r="D89" s="420"/>
      <c r="E89" s="60">
        <f>C89*100000/(0.9*J83*H16)</f>
        <v>5.5231894841269842</v>
      </c>
      <c r="F89" s="137" t="str">
        <f>IF(E89&gt;G89,"ch­a ®¹t","®¹t")</f>
        <v>®¹t</v>
      </c>
      <c r="G89" s="127">
        <f>(3.14*(I89/20)*(I89/20))*H89</f>
        <v>20.001799999999999</v>
      </c>
      <c r="H89" s="134">
        <v>13</v>
      </c>
      <c r="I89" s="135">
        <v>14</v>
      </c>
      <c r="J89" s="119">
        <f>G89/(H8*J83)</f>
        <v>0.12501124999999999</v>
      </c>
      <c r="K89" s="137" t="str">
        <f>IF(J89&lt;K86,"ch­a ®¹t","®¹t")</f>
        <v>®¹t</v>
      </c>
    </row>
    <row r="90" spans="1:13" ht="15" customHeight="1" x14ac:dyDescent="0.2">
      <c r="B90" s="108"/>
      <c r="C90" s="129"/>
      <c r="D90" s="76"/>
      <c r="E90" s="124"/>
      <c r="F90" s="123"/>
      <c r="G90" s="130"/>
      <c r="H90" s="117"/>
      <c r="I90" s="117"/>
      <c r="J90" s="125"/>
      <c r="K90" s="123"/>
    </row>
    <row r="91" spans="1:13" ht="15" customHeight="1" x14ac:dyDescent="0.2">
      <c r="A91" s="413" t="s">
        <v>216</v>
      </c>
      <c r="B91" s="185" t="s">
        <v>268</v>
      </c>
      <c r="G91" s="1" t="str">
        <f>E2</f>
        <v>VÞ trÝ:</v>
      </c>
      <c r="H91" s="183" t="str">
        <f>F2</f>
        <v>Mãng cäc §C-4, HK K13</v>
      </c>
      <c r="K91" s="252" t="str">
        <f>K1</f>
        <v>CoIns-404-9(C) - PILE99</v>
      </c>
      <c r="M91" s="408"/>
    </row>
    <row r="92" spans="1:13" ht="15" customHeight="1" x14ac:dyDescent="0.2">
      <c r="I92" s="139" t="s">
        <v>42</v>
      </c>
      <c r="J92" s="27">
        <f>MAX(F62,F63)</f>
        <v>3.7939079742706867</v>
      </c>
      <c r="K92" s="56" t="s">
        <v>1</v>
      </c>
    </row>
    <row r="93" spans="1:13" ht="15" customHeight="1" x14ac:dyDescent="0.2">
      <c r="I93" s="139" t="s">
        <v>43</v>
      </c>
      <c r="J93" s="27">
        <f>MIN(F62,F63)</f>
        <v>3.0439079742706867</v>
      </c>
      <c r="K93" s="56" t="s">
        <v>1</v>
      </c>
    </row>
    <row r="94" spans="1:13" ht="15" customHeight="1" x14ac:dyDescent="0.2">
      <c r="I94" s="139" t="s">
        <v>44</v>
      </c>
      <c r="J94" s="28">
        <f>J92/J93</f>
        <v>1.2463937827094456</v>
      </c>
      <c r="K94" s="56"/>
    </row>
    <row r="95" spans="1:13" ht="15" customHeight="1" x14ac:dyDescent="0.2">
      <c r="E95" s="25" t="s">
        <v>160</v>
      </c>
      <c r="F95" s="63">
        <f>E73-H44*(K19+K21)</f>
        <v>8.8470238589629489</v>
      </c>
      <c r="G95" s="56" t="s">
        <v>40</v>
      </c>
      <c r="I95" s="139" t="s">
        <v>45</v>
      </c>
      <c r="J95" s="27">
        <f>K17*J93</f>
        <v>0.45658619614060297</v>
      </c>
      <c r="K95" s="56" t="s">
        <v>1</v>
      </c>
    </row>
    <row r="96" spans="1:13" ht="15" customHeight="1" x14ac:dyDescent="0.2">
      <c r="C96" s="24" t="s">
        <v>369</v>
      </c>
      <c r="H96" s="95" t="s">
        <v>371</v>
      </c>
    </row>
    <row r="98" spans="3:10" ht="15" customHeight="1" x14ac:dyDescent="0.2">
      <c r="C98" s="29" t="s">
        <v>46</v>
      </c>
      <c r="D98" s="438" t="s">
        <v>47</v>
      </c>
      <c r="E98" s="439"/>
      <c r="F98" s="259" t="s">
        <v>233</v>
      </c>
      <c r="G98" s="29" t="s">
        <v>234</v>
      </c>
      <c r="H98" s="37" t="s">
        <v>150</v>
      </c>
      <c r="I98" s="29" t="s">
        <v>151</v>
      </c>
      <c r="J98" s="30" t="s">
        <v>152</v>
      </c>
    </row>
    <row r="99" spans="3:10" ht="15" customHeight="1" x14ac:dyDescent="0.2">
      <c r="C99" s="31">
        <v>0</v>
      </c>
      <c r="D99" s="76"/>
      <c r="E99" s="40">
        <f>C70</f>
        <v>14.55</v>
      </c>
      <c r="F99" s="46">
        <f>H44</f>
        <v>1.9516838487972508</v>
      </c>
      <c r="G99" s="190"/>
      <c r="H99" s="67">
        <f>E99</f>
        <v>14.55</v>
      </c>
      <c r="I99" s="34">
        <f t="shared" ref="I99:I114" si="2">H99*F99</f>
        <v>28.396999999999998</v>
      </c>
      <c r="J99" s="191"/>
    </row>
    <row r="100" spans="3:10" ht="15" customHeight="1" x14ac:dyDescent="0.2">
      <c r="C100" s="31">
        <v>1</v>
      </c>
      <c r="D100" s="76"/>
      <c r="E100" s="38">
        <f t="shared" ref="E100:E114" si="3">E99+H100</f>
        <v>15.006586196140603</v>
      </c>
      <c r="F100" s="32">
        <v>2</v>
      </c>
      <c r="G100" s="33">
        <v>1691</v>
      </c>
      <c r="H100" s="68">
        <f>J95</f>
        <v>0.45658619614060297</v>
      </c>
      <c r="I100" s="34">
        <f t="shared" si="2"/>
        <v>0.91317239228120595</v>
      </c>
      <c r="J100" s="34">
        <f>(G117+G118)/2</f>
        <v>8.7847941461786103</v>
      </c>
    </row>
    <row r="101" spans="3:10" ht="15" customHeight="1" x14ac:dyDescent="0.2">
      <c r="C101" s="31">
        <v>2</v>
      </c>
      <c r="D101" s="76"/>
      <c r="E101" s="38">
        <f t="shared" si="3"/>
        <v>15.463172392281205</v>
      </c>
      <c r="F101" s="32">
        <f t="shared" ref="F101:F114" si="4">F100</f>
        <v>2</v>
      </c>
      <c r="G101" s="33">
        <v>1691</v>
      </c>
      <c r="H101" s="68">
        <f>J95</f>
        <v>0.45658619614060297</v>
      </c>
      <c r="I101" s="34">
        <f t="shared" si="2"/>
        <v>0.91317239228120595</v>
      </c>
      <c r="J101" s="34">
        <f>(G118+G119)/2</f>
        <v>8.3998219481552656</v>
      </c>
    </row>
    <row r="102" spans="3:10" ht="15" customHeight="1" x14ac:dyDescent="0.2">
      <c r="C102" s="31">
        <v>3</v>
      </c>
      <c r="D102" s="76"/>
      <c r="E102" s="38">
        <f t="shared" si="3"/>
        <v>15.919758588421807</v>
      </c>
      <c r="F102" s="32">
        <f t="shared" si="4"/>
        <v>2</v>
      </c>
      <c r="G102" s="33">
        <v>1691</v>
      </c>
      <c r="H102" s="68">
        <f>J95</f>
        <v>0.45658619614060297</v>
      </c>
      <c r="I102" s="34">
        <f t="shared" si="2"/>
        <v>0.91317239228120595</v>
      </c>
      <c r="J102" s="34">
        <f t="shared" ref="J102:J114" si="5">(G119+G120)/2</f>
        <v>7.540321934695533</v>
      </c>
    </row>
    <row r="103" spans="3:10" ht="15" customHeight="1" x14ac:dyDescent="0.2">
      <c r="C103" s="31">
        <v>4</v>
      </c>
      <c r="D103" s="76"/>
      <c r="E103" s="38">
        <f t="shared" si="3"/>
        <v>16.376344784562409</v>
      </c>
      <c r="F103" s="32">
        <f t="shared" si="4"/>
        <v>2</v>
      </c>
      <c r="G103" s="33">
        <v>1691</v>
      </c>
      <c r="H103" s="68">
        <f>J95</f>
        <v>0.45658619614060297</v>
      </c>
      <c r="I103" s="34">
        <f t="shared" si="2"/>
        <v>0.91317239228120595</v>
      </c>
      <c r="J103" s="34">
        <f t="shared" si="5"/>
        <v>6.4195057133953739</v>
      </c>
    </row>
    <row r="104" spans="3:10" ht="15" customHeight="1" x14ac:dyDescent="0.2">
      <c r="C104" s="31">
        <v>5</v>
      </c>
      <c r="D104" s="76"/>
      <c r="E104" s="38">
        <f t="shared" si="3"/>
        <v>16.832930980703011</v>
      </c>
      <c r="F104" s="32">
        <f t="shared" si="4"/>
        <v>2</v>
      </c>
      <c r="G104" s="33">
        <v>1691</v>
      </c>
      <c r="H104" s="68">
        <f>J95</f>
        <v>0.45658619614060297</v>
      </c>
      <c r="I104" s="34">
        <f t="shared" si="2"/>
        <v>0.91317239228120595</v>
      </c>
      <c r="J104" s="34">
        <f t="shared" si="5"/>
        <v>5.3089660191994721</v>
      </c>
    </row>
    <row r="105" spans="3:10" ht="15" customHeight="1" x14ac:dyDescent="0.2">
      <c r="C105" s="31">
        <v>6</v>
      </c>
      <c r="D105" s="76"/>
      <c r="E105" s="38">
        <f t="shared" si="3"/>
        <v>17.289517176843614</v>
      </c>
      <c r="F105" s="32">
        <f t="shared" si="4"/>
        <v>2</v>
      </c>
      <c r="G105" s="33">
        <v>1691</v>
      </c>
      <c r="H105" s="68">
        <f>J95</f>
        <v>0.45658619614060297</v>
      </c>
      <c r="I105" s="34">
        <f t="shared" si="2"/>
        <v>0.91317239228120595</v>
      </c>
      <c r="J105" s="34">
        <f t="shared" si="5"/>
        <v>4.3467351617860084</v>
      </c>
    </row>
    <row r="106" spans="3:10" ht="15" customHeight="1" x14ac:dyDescent="0.2">
      <c r="C106" s="31">
        <v>7</v>
      </c>
      <c r="D106" s="76"/>
      <c r="E106" s="38">
        <f t="shared" si="3"/>
        <v>17.746103372984216</v>
      </c>
      <c r="F106" s="32">
        <f t="shared" si="4"/>
        <v>2</v>
      </c>
      <c r="G106" s="33">
        <v>1691</v>
      </c>
      <c r="H106" s="68">
        <f>J95</f>
        <v>0.45658619614060297</v>
      </c>
      <c r="I106" s="34">
        <f t="shared" si="2"/>
        <v>0.91317239228120595</v>
      </c>
      <c r="J106" s="34">
        <f t="shared" si="5"/>
        <v>3.5632126337495036</v>
      </c>
    </row>
    <row r="107" spans="3:10" ht="15" customHeight="1" x14ac:dyDescent="0.2">
      <c r="C107" s="31">
        <v>8</v>
      </c>
      <c r="D107" s="76"/>
      <c r="E107" s="38">
        <f t="shared" si="3"/>
        <v>18.202689569124818</v>
      </c>
      <c r="F107" s="32">
        <f t="shared" si="4"/>
        <v>2</v>
      </c>
      <c r="G107" s="33">
        <v>1691</v>
      </c>
      <c r="H107" s="68">
        <f>J95</f>
        <v>0.45658619614060297</v>
      </c>
      <c r="I107" s="34">
        <f t="shared" si="2"/>
        <v>0.91317239228120595</v>
      </c>
      <c r="J107" s="34">
        <f t="shared" si="5"/>
        <v>2.9412350873489981</v>
      </c>
    </row>
    <row r="108" spans="3:10" ht="15" customHeight="1" x14ac:dyDescent="0.2">
      <c r="C108" s="31">
        <v>9</v>
      </c>
      <c r="D108" s="76"/>
      <c r="E108" s="38">
        <f t="shared" si="3"/>
        <v>18.65927576526542</v>
      </c>
      <c r="F108" s="32">
        <f t="shared" si="4"/>
        <v>2</v>
      </c>
      <c r="G108" s="33">
        <v>1691</v>
      </c>
      <c r="H108" s="68">
        <f>J95</f>
        <v>0.45658619614060297</v>
      </c>
      <c r="I108" s="34">
        <f t="shared" si="2"/>
        <v>0.91317239228120595</v>
      </c>
      <c r="J108" s="34">
        <f t="shared" si="5"/>
        <v>2.4508360919172771</v>
      </c>
    </row>
    <row r="109" spans="3:10" ht="15" customHeight="1" x14ac:dyDescent="0.2">
      <c r="C109" s="31">
        <v>10</v>
      </c>
      <c r="D109" s="76"/>
      <c r="E109" s="38">
        <f t="shared" si="3"/>
        <v>19.115861961406022</v>
      </c>
      <c r="F109" s="32">
        <f t="shared" si="4"/>
        <v>2</v>
      </c>
      <c r="G109" s="33">
        <v>1691</v>
      </c>
      <c r="H109" s="68">
        <f>J95</f>
        <v>0.45658619614060297</v>
      </c>
      <c r="I109" s="34">
        <f t="shared" si="2"/>
        <v>0.91317239228120595</v>
      </c>
      <c r="J109" s="34">
        <f t="shared" si="5"/>
        <v>2.0631650081787529</v>
      </c>
    </row>
    <row r="110" spans="3:10" ht="15" customHeight="1" x14ac:dyDescent="0.2">
      <c r="C110" s="31">
        <v>11</v>
      </c>
      <c r="D110" s="76"/>
      <c r="E110" s="38">
        <f t="shared" si="3"/>
        <v>19.572448157546624</v>
      </c>
      <c r="F110" s="32">
        <f t="shared" si="4"/>
        <v>2</v>
      </c>
      <c r="G110" s="33">
        <v>1691</v>
      </c>
      <c r="H110" s="68">
        <f>J95</f>
        <v>0.45658619614060297</v>
      </c>
      <c r="I110" s="34">
        <f t="shared" si="2"/>
        <v>0.91317239228120595</v>
      </c>
      <c r="J110" s="34">
        <f t="shared" si="5"/>
        <v>1.7544801477266512</v>
      </c>
    </row>
    <row r="111" spans="3:10" ht="15" customHeight="1" x14ac:dyDescent="0.2">
      <c r="C111" s="31">
        <v>12</v>
      </c>
      <c r="D111" s="76"/>
      <c r="E111" s="38">
        <f t="shared" si="3"/>
        <v>20.029034353687226</v>
      </c>
      <c r="F111" s="32">
        <f t="shared" si="4"/>
        <v>2</v>
      </c>
      <c r="G111" s="33">
        <v>1691</v>
      </c>
      <c r="H111" s="68">
        <f>J95</f>
        <v>0.45658619614060297</v>
      </c>
      <c r="I111" s="34">
        <f t="shared" si="2"/>
        <v>0.91317239228120595</v>
      </c>
      <c r="J111" s="34">
        <f t="shared" si="5"/>
        <v>1.5063929624145311</v>
      </c>
    </row>
    <row r="112" spans="3:10" ht="15" customHeight="1" x14ac:dyDescent="0.2">
      <c r="C112" s="31">
        <v>13</v>
      </c>
      <c r="D112" s="76"/>
      <c r="E112" s="38">
        <f t="shared" si="3"/>
        <v>20.485620549827829</v>
      </c>
      <c r="F112" s="32">
        <f t="shared" si="4"/>
        <v>2</v>
      </c>
      <c r="G112" s="33">
        <v>1691</v>
      </c>
      <c r="H112" s="68">
        <f>J95</f>
        <v>0.45658619614060297</v>
      </c>
      <c r="I112" s="34">
        <f t="shared" si="2"/>
        <v>0.91317239228120595</v>
      </c>
      <c r="J112" s="34">
        <f t="shared" si="5"/>
        <v>1.3049988943434805</v>
      </c>
    </row>
    <row r="113" spans="2:11" ht="15" customHeight="1" x14ac:dyDescent="0.2">
      <c r="C113" s="31">
        <v>14</v>
      </c>
      <c r="D113" s="76"/>
      <c r="E113" s="38">
        <f t="shared" si="3"/>
        <v>20.942206745968431</v>
      </c>
      <c r="F113" s="32">
        <f t="shared" si="4"/>
        <v>2</v>
      </c>
      <c r="G113" s="33">
        <v>1691</v>
      </c>
      <c r="H113" s="68">
        <f>J95</f>
        <v>0.45658619614060297</v>
      </c>
      <c r="I113" s="34">
        <f t="shared" si="2"/>
        <v>0.91317239228120595</v>
      </c>
      <c r="J113" s="34">
        <f t="shared" si="5"/>
        <v>1.1398590046192758</v>
      </c>
    </row>
    <row r="114" spans="2:11" ht="15" customHeight="1" x14ac:dyDescent="0.2">
      <c r="C114" s="35">
        <v>15</v>
      </c>
      <c r="D114" s="78"/>
      <c r="E114" s="39">
        <f t="shared" si="3"/>
        <v>21.398792942109033</v>
      </c>
      <c r="F114" s="32">
        <f t="shared" si="4"/>
        <v>2</v>
      </c>
      <c r="G114" s="33">
        <v>1691</v>
      </c>
      <c r="H114" s="69">
        <f>J95</f>
        <v>0.45658619614060297</v>
      </c>
      <c r="I114" s="36">
        <f t="shared" si="2"/>
        <v>0.91317239228120595</v>
      </c>
      <c r="J114" s="36">
        <f t="shared" si="5"/>
        <v>1.0031261331864894</v>
      </c>
    </row>
    <row r="115" spans="2:11" ht="15" customHeight="1" x14ac:dyDescent="0.2">
      <c r="D115" s="94"/>
    </row>
    <row r="116" spans="2:11" ht="15" customHeight="1" x14ac:dyDescent="0.2">
      <c r="B116" s="37" t="s">
        <v>48</v>
      </c>
      <c r="C116" s="29" t="s">
        <v>153</v>
      </c>
      <c r="D116" s="94"/>
      <c r="E116" s="43" t="s">
        <v>154</v>
      </c>
      <c r="F116" s="41" t="s">
        <v>159</v>
      </c>
      <c r="G116" s="30" t="s">
        <v>155</v>
      </c>
      <c r="H116" s="30" t="s">
        <v>156</v>
      </c>
      <c r="I116" s="42" t="s">
        <v>46</v>
      </c>
      <c r="J116" s="43" t="s">
        <v>157</v>
      </c>
      <c r="K116" s="44"/>
    </row>
    <row r="117" spans="2:11" ht="15" customHeight="1" x14ac:dyDescent="0.2">
      <c r="B117" s="45">
        <f>E99</f>
        <v>14.55</v>
      </c>
      <c r="C117" s="34">
        <v>0</v>
      </c>
      <c r="D117" s="76"/>
      <c r="E117" s="59">
        <v>0</v>
      </c>
      <c r="F117" s="47">
        <v>1</v>
      </c>
      <c r="G117" s="34">
        <f>F95*F117</f>
        <v>8.8470238589629489</v>
      </c>
      <c r="H117" s="48">
        <f>I99</f>
        <v>28.396999999999998</v>
      </c>
      <c r="I117" s="49">
        <v>0</v>
      </c>
      <c r="J117" s="192"/>
      <c r="K117" s="65" t="str">
        <f>IF(G117&lt;=K18*H117,"T¾t lón","TÝnh tiÕp")</f>
        <v>TÝnh tiÕp</v>
      </c>
    </row>
    <row r="118" spans="2:11" ht="15" customHeight="1" x14ac:dyDescent="0.2">
      <c r="B118" s="50">
        <f>B117+C118</f>
        <v>15.006586196140603</v>
      </c>
      <c r="C118" s="34">
        <f>J95</f>
        <v>0.45658619614060297</v>
      </c>
      <c r="D118" s="76"/>
      <c r="E118" s="59">
        <f>2*C118/J93</f>
        <v>0.3</v>
      </c>
      <c r="F118" s="47">
        <f>(ATAN(0.25*J92*J93/C118/SQRT(0.25*J93*J93+0.25*J92*J92+C118*C118))+((0.25*J92*J93*C118*(0.25*J93*J93+0.25*J92*J92+2*C118*C118))/((0.25*J93*J93+C118*C118)*(0.25*J92*J92+C118*C118)*(SQRT(0.25*J93*J93+0.25*J92*J92+C118*C118)))))*2/PI()</f>
        <v>0.98593205720332877</v>
      </c>
      <c r="G118" s="34">
        <f>F95*F118</f>
        <v>8.7225644333942718</v>
      </c>
      <c r="H118" s="34">
        <f t="shared" ref="H118:H132" si="6">H117+I100</f>
        <v>29.310172392281203</v>
      </c>
      <c r="I118" s="49">
        <v>1</v>
      </c>
      <c r="J118" s="34">
        <f>IF(G100&gt;0,100*K16*H100*J100/G100,"---")</f>
        <v>7.1159356766681156E-2</v>
      </c>
      <c r="K118" s="65" t="str">
        <f>IF(G118&lt;=K18*H118,"T¾t lón","TÝnh tiÕp")</f>
        <v>TÝnh tiÕp</v>
      </c>
    </row>
    <row r="119" spans="2:11" ht="15" customHeight="1" x14ac:dyDescent="0.2">
      <c r="B119" s="50">
        <f>B117+C119</f>
        <v>15.463172392281207</v>
      </c>
      <c r="C119" s="34">
        <f>C118*2</f>
        <v>0.91317239228120595</v>
      </c>
      <c r="D119" s="76"/>
      <c r="E119" s="59">
        <f>2*C119/J93</f>
        <v>0.6</v>
      </c>
      <c r="F119" s="51">
        <f>(ATAN(0.25*J92*J93/C119/SQRT(0.25*J93*J93+0.25*J92*J92+C119*C119))+((0.25*J92*J93*C119*(0.25*J93*J93+0.25*J92*J92+2*C119*C119))/((0.25*J93*J93+C119*C119)*(0.25*J92*J92+C119*C119)*(SQRT(0.25*J93*J93+0.25*J92*J92+C119*C119)))))*2/PI()</f>
        <v>0.9129713666063356</v>
      </c>
      <c r="G119" s="34">
        <f>F95*F119</f>
        <v>8.0770794629162594</v>
      </c>
      <c r="H119" s="34">
        <f t="shared" si="6"/>
        <v>30.223344784562407</v>
      </c>
      <c r="I119" s="49">
        <v>2</v>
      </c>
      <c r="J119" s="34">
        <f>IF(G101&gt;0,100*K16*H101*J101/G101,"---")</f>
        <v>6.8040971346538651E-2</v>
      </c>
      <c r="K119" s="65" t="str">
        <f>IF(G119&lt;=K18*H119,"T¾t lón","TÝnh tiÕp")</f>
        <v>TÝnh tiÕp</v>
      </c>
    </row>
    <row r="120" spans="2:11" ht="15" customHeight="1" x14ac:dyDescent="0.2">
      <c r="B120" s="50">
        <f>B117+C120</f>
        <v>15.919758588421809</v>
      </c>
      <c r="C120" s="34">
        <f>C118*3</f>
        <v>1.3697585884218089</v>
      </c>
      <c r="D120" s="76"/>
      <c r="E120" s="59">
        <f>2*C120/J93</f>
        <v>0.89999999999999991</v>
      </c>
      <c r="F120" s="51">
        <f>(ATAN(0.25*J92*J93/C120/SQRT(0.25*J93*J93+0.25*J92*J92+C120*C120))+((0.25*J92*J93*C120*(0.25*J93*J93+0.25*J92*J92+2*C120*C120))/((0.25*J93*J93+C120*C120)*(0.25*J92*J92+C120*C120)*(SQRT(0.25*J93*J93+0.25*J92*J92+C120*C120)))))*2/PI()</f>
        <v>0.79162942455269547</v>
      </c>
      <c r="G120" s="34">
        <f>F95*F120</f>
        <v>7.0035644064748066</v>
      </c>
      <c r="H120" s="34">
        <f t="shared" si="6"/>
        <v>31.136517176843611</v>
      </c>
      <c r="I120" s="49">
        <v>3</v>
      </c>
      <c r="J120" s="34">
        <f>IF(G102&gt;0,100*K16*H102*J102/G102,"---")</f>
        <v>6.1078774272705832E-2</v>
      </c>
      <c r="K120" s="65" t="str">
        <f>IF(G120&lt;=K18*H120,"T¾t lón","TÝnh tiÕp")</f>
        <v>TÝnh tiÕp</v>
      </c>
    </row>
    <row r="121" spans="2:11" ht="15" customHeight="1" x14ac:dyDescent="0.2">
      <c r="B121" s="50">
        <f>B117+C121</f>
        <v>16.376344784562413</v>
      </c>
      <c r="C121" s="34">
        <f>C118*4</f>
        <v>1.8263447845624119</v>
      </c>
      <c r="D121" s="76"/>
      <c r="E121" s="59">
        <f>2*C121/J93</f>
        <v>1.2</v>
      </c>
      <c r="F121" s="51">
        <f>(ATAN(0.25*J92*J93/C121/SQRT(0.25*J93*J93+0.25*J92*J92+C121*C121))+((0.25*J92*J93*C121*(0.25*J93*J93+0.25*J92*J92+2*C121*C121))/((0.25*J93*J93+C121*C121)*(0.25*J92*J92+C121*C121)*(SQRT(0.25*J93*J93+0.25*J92*J92+C121*C121)))))*2/PI()</f>
        <v>0.65959435775727349</v>
      </c>
      <c r="G121" s="34">
        <f>F95*F121</f>
        <v>5.8354470203159412</v>
      </c>
      <c r="H121" s="34">
        <f t="shared" si="6"/>
        <v>32.049689569124816</v>
      </c>
      <c r="I121" s="49">
        <v>4</v>
      </c>
      <c r="J121" s="34">
        <f>IF(G103&gt;0,100*K16*H103*J103/G103,"---")</f>
        <v>5.1999840829959697E-2</v>
      </c>
      <c r="K121" s="65" t="str">
        <f>IF(G121&lt;=K18*H121,"T¾t lón","TÝnh tiÕp")</f>
        <v>T¾t lón</v>
      </c>
    </row>
    <row r="122" spans="2:11" ht="15" customHeight="1" x14ac:dyDescent="0.2">
      <c r="B122" s="50">
        <f>B117+C122</f>
        <v>16.832930980703015</v>
      </c>
      <c r="C122" s="34">
        <f>C118*5</f>
        <v>2.2829309807030147</v>
      </c>
      <c r="D122" s="76"/>
      <c r="E122" s="59">
        <f>2*C122/J93</f>
        <v>1.4999999999999998</v>
      </c>
      <c r="F122" s="52">
        <f>(ATAN(0.25*J92*J93/C122/SQRT(0.25*J93*J93+0.25*J92*J92+C122*C122))+((0.25*J92*J93*C122*(0.25*J93*J93+0.25*J92*J92+2*C122*C122))/((0.25*J93*J93+C122*C122)*(0.25*J92*J92+C122*C122)*(SQRT(0.25*J93*J93+0.25*J92*J92+C122*C122)))))*2/PI()</f>
        <v>0.54057557595912353</v>
      </c>
      <c r="G122" s="38">
        <f>F95*F122</f>
        <v>4.7824850180830039</v>
      </c>
      <c r="H122" s="34">
        <f t="shared" si="6"/>
        <v>32.96286196140602</v>
      </c>
      <c r="I122" s="49">
        <v>5</v>
      </c>
      <c r="J122" s="34">
        <f>IF(G104&gt;0,100*K16*H104*J104/G104,"---")</f>
        <v>4.3004150209568416E-2</v>
      </c>
      <c r="K122" s="65" t="str">
        <f>IF(G122&lt;=K18*H122,"T¾t lón","TÝnh tiÕp")</f>
        <v>T¾t lón</v>
      </c>
    </row>
    <row r="123" spans="2:11" ht="15" customHeight="1" x14ac:dyDescent="0.2">
      <c r="B123" s="50">
        <f>B117+C123</f>
        <v>17.289517176843617</v>
      </c>
      <c r="C123" s="34">
        <f>C118*6</f>
        <v>2.7395171768436177</v>
      </c>
      <c r="D123" s="76"/>
      <c r="E123" s="59">
        <f>2*C123/J93</f>
        <v>1.7999999999999998</v>
      </c>
      <c r="F123" s="51">
        <f>(ATAN(0.25*J92*J93/C123/SQRT(0.25*J93*J93+0.25*J92*J92+C123*C123))+((0.25*J92*J93*C123*(0.25*J93*J93+0.25*J92*J92+2*C123*C123))/((0.25*J93*J93+C123*C123)*(0.25*J92*J92+C123*C123)*(SQRT(0.25*J93*J93+0.25*J92*J92+C123*C123)))))*2/PI()</f>
        <v>0.44206790530205042</v>
      </c>
      <c r="G123" s="34">
        <f>F95*F123</f>
        <v>3.9109853054890134</v>
      </c>
      <c r="H123" s="34">
        <f t="shared" si="6"/>
        <v>33.876034353687224</v>
      </c>
      <c r="I123" s="49">
        <v>6</v>
      </c>
      <c r="J123" s="34">
        <f>IF(G105&gt;0,100*K16*H105*J105/G105,"---")</f>
        <v>3.5209803781498794E-2</v>
      </c>
      <c r="K123" s="65" t="str">
        <f>IF(G123&lt;=K18*H123,"T¾t lón","TÝnh tiÕp")</f>
        <v>T¾t lón</v>
      </c>
    </row>
    <row r="124" spans="2:11" ht="15" customHeight="1" x14ac:dyDescent="0.2">
      <c r="B124" s="50">
        <f>B117+C124</f>
        <v>17.746103372984223</v>
      </c>
      <c r="C124" s="34">
        <f>C118*7</f>
        <v>3.1961033729842208</v>
      </c>
      <c r="D124" s="76"/>
      <c r="E124" s="59">
        <f>2*C124/J93</f>
        <v>2.0999999999999996</v>
      </c>
      <c r="F124" s="51">
        <f>(ATAN(0.25*J92*J93/C124/SQRT(0.25*J93*J93+0.25*J92*J92+C124*C124))+((0.25*J92*J93*C124*(0.25*J93*J93+0.25*J92*J92+2*C124*C124))/((0.25*J93*J93+C124*C124)*(0.25*J92*J92+C124*C124)*(SQRT(0.25*J93*J93+0.25*J92*J92+C124*C124)))))*2/PI()</f>
        <v>0.36344877252166791</v>
      </c>
      <c r="G124" s="34">
        <f>F95*F124</f>
        <v>3.2154399620099934</v>
      </c>
      <c r="H124" s="34">
        <f t="shared" si="6"/>
        <v>34.789206745968428</v>
      </c>
      <c r="I124" s="49">
        <v>7</v>
      </c>
      <c r="J124" s="34">
        <f>IF(G106&gt;0,100*K16*H106*J106/G106,"---")</f>
        <v>2.8863046170617836E-2</v>
      </c>
      <c r="K124" s="65" t="str">
        <f>IF(G124&lt;=K18*H124,"T¾t lón","TÝnh tiÕp")</f>
        <v>T¾t lón</v>
      </c>
    </row>
    <row r="125" spans="2:11" ht="15" customHeight="1" x14ac:dyDescent="0.2">
      <c r="B125" s="50">
        <f>B117+C125</f>
        <v>18.202689569124825</v>
      </c>
      <c r="C125" s="34">
        <f>C118*8</f>
        <v>3.6526895691248238</v>
      </c>
      <c r="D125" s="76"/>
      <c r="E125" s="59">
        <f>2*C125/J93</f>
        <v>2.4</v>
      </c>
      <c r="F125" s="51">
        <f>(ATAN(0.25*J92*J93/C125/SQRT(0.25*J93*J93+0.25*J92*J92+C125*C125))+((0.25*J92*J93*C125*(0.25*J93*J93+0.25*J92*J92+2*C125*C125))/((0.25*J93*J93+C125*C125)*(0.25*J92*J92+C125*C125)*(SQRT(0.25*J93*J93+0.25*J92*J92+C125*C125)))))*2/PI()</f>
        <v>0.30146072342576824</v>
      </c>
      <c r="G125" s="34">
        <f>F95*F125</f>
        <v>2.6670302126880023</v>
      </c>
      <c r="H125" s="34">
        <f t="shared" si="6"/>
        <v>35.702379138249633</v>
      </c>
      <c r="I125" s="49">
        <v>8</v>
      </c>
      <c r="J125" s="34">
        <f>IF(G107&gt;0,100*K16*H107*J107/G107,"---")</f>
        <v>2.3824849328585803E-2</v>
      </c>
      <c r="K125" s="65" t="str">
        <f>IF(G125&lt;=K18*H125,"T¾t lón","TÝnh tiÕp")</f>
        <v>T¾t lón</v>
      </c>
    </row>
    <row r="126" spans="2:11" ht="15" customHeight="1" x14ac:dyDescent="0.2">
      <c r="B126" s="50">
        <f>B117+C126</f>
        <v>18.659275765265427</v>
      </c>
      <c r="C126" s="34">
        <f>C118*9</f>
        <v>4.1092757652654264</v>
      </c>
      <c r="D126" s="76"/>
      <c r="E126" s="59">
        <f>2*C126/J93</f>
        <v>2.6999999999999997</v>
      </c>
      <c r="F126" s="51">
        <f>(ATAN(0.25*J92*J93/C126/SQRT(0.25*J93*J93+0.25*J92*J92+C126*C126))+((0.25*J92*J93*C126*(0.25*J93*J93+0.25*J92*J92+2*C126*C126))/((0.25*J93*J93+C126*C126)*(0.25*J92*J92+C126*C126)*(SQRT(0.25*J93*J93+0.25*J92*J92+C126*C126)))))*2/PI()</f>
        <v>0.25258685935187453</v>
      </c>
      <c r="G126" s="34">
        <f>F95*F126</f>
        <v>2.2346419711465524</v>
      </c>
      <c r="H126" s="34">
        <f t="shared" si="6"/>
        <v>36.615551530530837</v>
      </c>
      <c r="I126" s="49">
        <v>9</v>
      </c>
      <c r="J126" s="34">
        <f>IF(G108&gt;0,100*K16*H108*J108/G108,"---")</f>
        <v>1.9852476556580911E-2</v>
      </c>
      <c r="K126" s="65" t="str">
        <f>IF(G126&lt;=K18*H126,"T¾t lón","TÝnh tiÕp")</f>
        <v>T¾t lón</v>
      </c>
    </row>
    <row r="127" spans="2:11" ht="15" customHeight="1" x14ac:dyDescent="0.2">
      <c r="B127" s="50">
        <f>B117+C127</f>
        <v>19.115861961406029</v>
      </c>
      <c r="C127" s="34">
        <f>C118*10</f>
        <v>4.5658619614060294</v>
      </c>
      <c r="D127" s="76"/>
      <c r="E127" s="59">
        <f>2*C127/J93</f>
        <v>2.9999999999999996</v>
      </c>
      <c r="F127" s="51">
        <f>(ATAN(0.25*J92*J93/C127/SQRT(0.25*J93*J93+0.25*J92*J92+C127*C127))+((0.25*J92*J93*C127*(0.25*J93*J93+0.25*J92*J92+2*C127*C127))/((0.25*J93*J93+C127*C127)*(0.25*J92*J92+C127*C127)*(SQRT(0.25*J93*J93+0.25*J92*J92+C127*C127)))))*2/PI()</f>
        <v>0.21382196717989835</v>
      </c>
      <c r="G127" s="34">
        <f>F95*F127</f>
        <v>1.8916880452109532</v>
      </c>
      <c r="H127" s="34">
        <f t="shared" si="6"/>
        <v>37.528723922812041</v>
      </c>
      <c r="I127" s="49">
        <v>10</v>
      </c>
      <c r="J127" s="34">
        <f>IF(G109&gt;0,100*K16*H109*J109/G109,"---")</f>
        <v>1.6712229386659956E-2</v>
      </c>
      <c r="K127" s="65" t="str">
        <f>IF(G127&lt;=K18*H127,"T¾t lón","TÝnh tiÕp")</f>
        <v>T¾t lón</v>
      </c>
    </row>
    <row r="128" spans="2:11" ht="15" customHeight="1" x14ac:dyDescent="0.2">
      <c r="B128" s="50">
        <f>B117+C128</f>
        <v>19.572448157546631</v>
      </c>
      <c r="C128" s="34">
        <f>C118*11</f>
        <v>5.0224481575466324</v>
      </c>
      <c r="D128" s="76"/>
      <c r="E128" s="59">
        <f>2*C128/J93</f>
        <v>3.2999999999999994</v>
      </c>
      <c r="F128" s="51">
        <f>(ATAN(0.25*J92*J93/C128/SQRT(0.25*J93*J93+0.25*J92*J92+C128*C128))+((0.25*J92*J93*C128*(0.25*J93*J93+0.25*J92*J92+2*C128*C128))/((0.25*J93*J93+C128*C128)*(0.25*J92*J92+C128*C128)*(SQRT(0.25*J93*J93+0.25*J92*J92+C128*C128)))))*2/PI()</f>
        <v>0.18280410181146797</v>
      </c>
      <c r="G128" s="34">
        <f>F95*F128</f>
        <v>1.6172722502423491</v>
      </c>
      <c r="H128" s="34">
        <f t="shared" si="6"/>
        <v>38.441896315093246</v>
      </c>
      <c r="I128" s="49">
        <v>11</v>
      </c>
      <c r="J128" s="34">
        <f>IF(G110&gt;0,100*K16*H110*J110/G110,"---")</f>
        <v>1.4211793320899731E-2</v>
      </c>
      <c r="K128" s="65" t="str">
        <f>IF(G128&lt;=K18*H128,"T¾t lón","TÝnh tiÕp")</f>
        <v>T¾t lón</v>
      </c>
    </row>
    <row r="129" spans="2:11" ht="15" customHeight="1" x14ac:dyDescent="0.2">
      <c r="B129" s="50">
        <f>B117+C129</f>
        <v>20.029034353687237</v>
      </c>
      <c r="C129" s="34">
        <f>C118*12</f>
        <v>5.4790343536872355</v>
      </c>
      <c r="D129" s="76"/>
      <c r="E129" s="59">
        <f>2*C129/J93</f>
        <v>3.5999999999999996</v>
      </c>
      <c r="F129" s="51">
        <f>(ATAN(0.25*J92*J93/C129/SQRT(0.25*J93*J93+0.25*J92*J92+C129*C129))+((0.25*J92*J93*C129*(0.25*J93*J93+0.25*J92*J92+2*C129*C129))/((0.25*J93*J93+C129*C129)*(0.25*J92*J92+C129*C129)*(SQRT(0.25*J93*J93+0.25*J92*J92+C129*C129)))))*2/PI()</f>
        <v>0.15773820629780641</v>
      </c>
      <c r="G129" s="34">
        <f>F95*F129</f>
        <v>1.3955136745867129</v>
      </c>
      <c r="H129" s="34">
        <f t="shared" si="6"/>
        <v>39.35506870737445</v>
      </c>
      <c r="I129" s="49">
        <v>12</v>
      </c>
      <c r="J129" s="34">
        <f>IF(G111&gt;0,100*K16*H111*J111/G111,"---")</f>
        <v>1.2202215835632614E-2</v>
      </c>
      <c r="K129" s="65" t="str">
        <f>IF(G129&lt;=K18*H129,"T¾t lón","TÝnh tiÕp")</f>
        <v>T¾t lón</v>
      </c>
    </row>
    <row r="130" spans="2:11" ht="15" customHeight="1" x14ac:dyDescent="0.2">
      <c r="B130" s="50">
        <f>B117+C130</f>
        <v>20.485620549827839</v>
      </c>
      <c r="C130" s="34">
        <f>C118*13</f>
        <v>5.9356205498278385</v>
      </c>
      <c r="D130" s="76"/>
      <c r="E130" s="59">
        <f>2*C130/J93</f>
        <v>3.8999999999999995</v>
      </c>
      <c r="F130" s="51">
        <f>(ATAN(0.25*J92*J93/C130/SQRT(0.25*J93*J93+0.25*J92*J92+C130*C130))+((0.25*J92*J93*C130*(0.25*J93*J93+0.25*J92*J92+2*C130*C130))/((0.25*J93*J93+C130*C130)*(0.25*J92*J92+C130*C130)*(SQRT(0.25*J93*J93+0.25*J92*J92+C130*C130)))))*2/PI()</f>
        <v>0.13727600755477226</v>
      </c>
      <c r="G130" s="34">
        <f>F95*F130</f>
        <v>1.2144841141002483</v>
      </c>
      <c r="H130" s="34">
        <f t="shared" si="6"/>
        <v>40.268241099655654</v>
      </c>
      <c r="I130" s="49">
        <v>13</v>
      </c>
      <c r="J130" s="34">
        <f>IF(G112&gt;0,100*K16*H112*J112/G112,"---")</f>
        <v>1.0570866016605247E-2</v>
      </c>
      <c r="K130" s="65" t="str">
        <f>IF(G130&lt;=K18*H130,"T¾t lón","TÝnh tiÕp")</f>
        <v>T¾t lón</v>
      </c>
    </row>
    <row r="131" spans="2:11" ht="15" customHeight="1" x14ac:dyDescent="0.2">
      <c r="B131" s="50">
        <f>B117+C131</f>
        <v>20.942206745968441</v>
      </c>
      <c r="C131" s="34">
        <f>C118*14</f>
        <v>6.3922067459684415</v>
      </c>
      <c r="D131" s="76"/>
      <c r="E131" s="59">
        <f>2*C131/J93</f>
        <v>4.1999999999999993</v>
      </c>
      <c r="F131" s="51">
        <f>(ATAN(0.25*J92*J93/C131/SQRT(0.25*J93*J93+0.25*J92*J92+C131*C131))+((0.25*J92*J93*C131*(0.25*J93*J93+0.25*J92*J92+2*C131*C131))/((0.25*J93*J93+C131*C131)*(0.25*J92*J92+C131*C131)*(SQRT(0.25*J93*J93+0.25*J92*J92+C131*C131)))))*2/PI()</f>
        <v>0.12040590283467037</v>
      </c>
      <c r="G131" s="34">
        <f>F95*F131</f>
        <v>1.0652338951383034</v>
      </c>
      <c r="H131" s="34">
        <f t="shared" si="6"/>
        <v>41.181413491936858</v>
      </c>
      <c r="I131" s="49">
        <v>14</v>
      </c>
      <c r="J131" s="34">
        <f>IF(G113&gt;0,100*K16*H113*J113/G113,"---")</f>
        <v>9.2331854592973828E-3</v>
      </c>
      <c r="K131" s="65" t="str">
        <f>IF(G131&lt;=K18*H131,"T¾t lón","TÝnh tiÕp")</f>
        <v>T¾t lón</v>
      </c>
    </row>
    <row r="132" spans="2:11" ht="15" customHeight="1" x14ac:dyDescent="0.2">
      <c r="B132" s="53">
        <f>B117+C132</f>
        <v>21.398792942109047</v>
      </c>
      <c r="C132" s="36">
        <f>C118*15</f>
        <v>6.8487929421090445</v>
      </c>
      <c r="D132" s="78"/>
      <c r="E132" s="60">
        <f>2*C132/J93</f>
        <v>4.5</v>
      </c>
      <c r="F132" s="54">
        <f>(ATAN(0.25*J92*J93/C132/SQRT(0.25*J93*J93+0.25*J92*J92+C132*C132))+((0.25*J92*J93*C132*(0.25*J93*J93+0.25*J92*J92+2*C132*C132))/((0.25*J93*J93+C132*C132)*(0.25*J92*J92+C132*C132)*(SQRT(0.25*J93*J93+0.25*J92*J92+C132*C132)))))*2/PI()</f>
        <v>0.10636552881920021</v>
      </c>
      <c r="G132" s="36">
        <f>F95*F132</f>
        <v>0.94101837123467535</v>
      </c>
      <c r="H132" s="36">
        <f t="shared" si="6"/>
        <v>42.094585884218063</v>
      </c>
      <c r="I132" s="35">
        <v>15</v>
      </c>
      <c r="J132" s="36">
        <f>IF(G114&gt;0,100*K16*H114*J114/G114,"---")</f>
        <v>8.1256099124929222E-3</v>
      </c>
      <c r="K132" s="66" t="str">
        <f>IF(G132&lt;=K18*H132,"T¾t lón","TÝnh tiÕp")</f>
        <v>T¾t lón</v>
      </c>
    </row>
    <row r="133" spans="2:11" ht="15" customHeight="1" x14ac:dyDescent="0.2">
      <c r="C133" s="55"/>
      <c r="D133" s="56"/>
      <c r="E133" s="56"/>
      <c r="F133" s="26" t="s">
        <v>158</v>
      </c>
      <c r="G133" s="57">
        <f>K18</f>
        <v>0.2</v>
      </c>
      <c r="H133" s="221" t="s">
        <v>156</v>
      </c>
      <c r="J133" s="63"/>
      <c r="K133" s="56"/>
    </row>
    <row r="134" spans="2:11" ht="15" customHeight="1" x14ac:dyDescent="0.2">
      <c r="B134" s="26" t="s">
        <v>49</v>
      </c>
      <c r="C134" s="186">
        <f>IF(K117="T¾t lón",B117,J95+SUMIF(K117:K132,K117,H99:H114))</f>
        <v>16.376344784562409</v>
      </c>
      <c r="D134" s="56" t="s">
        <v>1</v>
      </c>
      <c r="E134" s="58"/>
      <c r="F134" s="26" t="s">
        <v>50</v>
      </c>
      <c r="G134" s="62">
        <f ca="1">IF(K117="T¾t lón",0,SUMIF(K117:K132,K117,J118:J132))</f>
        <v>0.25227894321588534</v>
      </c>
      <c r="H134" s="49" t="str">
        <f ca="1">IF(G134&lt;K15,"&lt;[S](cm)=",IF(G134=K15,"=[S](cm)=","&gt;[S](cm)="))</f>
        <v>&lt;[S](cm)=</v>
      </c>
      <c r="I134" s="57">
        <f>K15</f>
        <v>8</v>
      </c>
      <c r="J134" s="70" t="str">
        <f ca="1">IF(H134="&lt;[S](cm)=","®¹t.",IF(H134="=[S](cm)=","®­îc.","kh«ng ®¹t."))</f>
        <v>®¹t.</v>
      </c>
    </row>
  </sheetData>
  <sheetProtection sheet="1" objects="1" scenarios="1"/>
  <protectedRanges>
    <protectedRange sqref="IK1 IS1" name="Range2"/>
  </protectedRanges>
  <customSheetViews>
    <customSheetView guid="{0294C485-EED7-4AA6-A8B2-4AE3C1ADF5F4}" scale="85" hiddenColumns="1">
      <selection activeCell="N28" sqref="N28"/>
      <rowBreaks count="2" manualBreakCount="2">
        <brk id="45" max="11" man="1"/>
        <brk id="90" max="11" man="1"/>
      </rowBreaks>
      <pageMargins left="0.98425196850393704" right="0" top="0" bottom="0" header="0" footer="0"/>
      <printOptions horizontalCentered="1" verticalCentered="1"/>
      <pageSetup paperSize="9" scale="98" orientation="portrait" horizontalDpi="300" verticalDpi="300" r:id="rId1"/>
      <headerFooter alignWithMargins="0"/>
    </customSheetView>
    <customSheetView guid="{6FCC20C4-4A54-4973-8359-C6D8908D37C8}" scale="85" hiddenColumns="1" topLeftCell="A9">
      <selection activeCell="O26" sqref="O26"/>
      <rowBreaks count="2" manualBreakCount="2">
        <brk id="45" max="11" man="1"/>
        <brk id="90" max="11" man="1"/>
      </rowBreaks>
      <pageMargins left="0.98425196850393704" right="0" top="0" bottom="0" header="0" footer="0"/>
      <printOptions horizontalCentered="1" verticalCentered="1"/>
      <pageSetup paperSize="9" scale="98" orientation="portrait" horizontalDpi="300" verticalDpi="300" r:id="rId2"/>
      <headerFooter alignWithMargins="0"/>
    </customSheetView>
  </customSheetViews>
  <mergeCells count="45">
    <mergeCell ref="C41:D41"/>
    <mergeCell ref="W39:W40"/>
    <mergeCell ref="M39:M40"/>
    <mergeCell ref="M36:M38"/>
    <mergeCell ref="N36:N38"/>
    <mergeCell ref="N39:N40"/>
    <mergeCell ref="C38:D38"/>
    <mergeCell ref="C39:D39"/>
    <mergeCell ref="C40:D40"/>
    <mergeCell ref="S37:S38"/>
    <mergeCell ref="Z11:Z12"/>
    <mergeCell ref="C29:D29"/>
    <mergeCell ref="C30:D30"/>
    <mergeCell ref="Z8:Z10"/>
    <mergeCell ref="Z17:Z20"/>
    <mergeCell ref="Z21:Z25"/>
    <mergeCell ref="C27:D27"/>
    <mergeCell ref="C26:D26"/>
    <mergeCell ref="C28:D28"/>
    <mergeCell ref="D98:E98"/>
    <mergeCell ref="G85:I85"/>
    <mergeCell ref="J85:K85"/>
    <mergeCell ref="B85:E85"/>
    <mergeCell ref="C86:D86"/>
    <mergeCell ref="C87:D87"/>
    <mergeCell ref="AA19:AA20"/>
    <mergeCell ref="AA16:AA18"/>
    <mergeCell ref="W36:W38"/>
    <mergeCell ref="C36:D36"/>
    <mergeCell ref="C37:D37"/>
    <mergeCell ref="C31:D31"/>
    <mergeCell ref="C35:D35"/>
    <mergeCell ref="C32:D32"/>
    <mergeCell ref="C33:D33"/>
    <mergeCell ref="C34:D34"/>
    <mergeCell ref="IK1:IS1"/>
    <mergeCell ref="IK2:IS2"/>
    <mergeCell ref="C88:D88"/>
    <mergeCell ref="C89:D89"/>
    <mergeCell ref="D1:H1"/>
    <mergeCell ref="Q1:U1"/>
    <mergeCell ref="O52:P52"/>
    <mergeCell ref="O17:O19"/>
    <mergeCell ref="Q37:Q38"/>
    <mergeCell ref="X15:X16"/>
  </mergeCells>
  <phoneticPr fontId="9" type="noConversion"/>
  <printOptions horizontalCentered="1" verticalCentered="1"/>
  <pageMargins left="0.98425196850393704" right="0" top="0" bottom="0" header="0" footer="0"/>
  <pageSetup paperSize="9" scale="98" orientation="portrait" horizontalDpi="300" verticalDpi="300" r:id="rId3"/>
  <headerFooter alignWithMargins="0"/>
  <rowBreaks count="2" manualBreakCount="2">
    <brk id="45" max="11" man="1"/>
    <brk id="9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213"/>
  <sheetViews>
    <sheetView topLeftCell="M1" zoomScaleNormal="100" workbookViewId="0">
      <selection activeCell="H16" sqref="H16"/>
    </sheetView>
  </sheetViews>
  <sheetFormatPr defaultRowHeight="12.75" x14ac:dyDescent="0.2"/>
  <cols>
    <col min="1" max="1" width="2.28515625" style="247" customWidth="1"/>
    <col min="2" max="2" width="7.7109375" style="313" customWidth="1"/>
    <col min="3" max="6" width="7.7109375" style="247" customWidth="1"/>
    <col min="7" max="7" width="9.28515625" style="247" customWidth="1"/>
    <col min="8" max="8" width="8.28515625" style="247" customWidth="1"/>
    <col min="9" max="9" width="7.28515625" style="269" customWidth="1"/>
    <col min="10" max="10" width="14" style="269" customWidth="1"/>
    <col min="11" max="11" width="6.5703125" style="269" customWidth="1"/>
    <col min="12" max="12" width="7.5703125" style="338" customWidth="1"/>
    <col min="13" max="13" width="7.7109375" style="273" customWidth="1"/>
    <col min="14" max="19" width="7.7109375" style="269" customWidth="1"/>
    <col min="20" max="20" width="7.85546875" style="247" customWidth="1"/>
    <col min="21" max="21" width="7.7109375" style="247" customWidth="1"/>
    <col min="22" max="22" width="7.7109375" style="365" customWidth="1"/>
    <col min="23" max="23" width="7.140625" style="269" customWidth="1"/>
    <col min="24" max="24" width="10.5703125" style="269" customWidth="1"/>
    <col min="25" max="25" width="10.140625" style="269" customWidth="1"/>
    <col min="26" max="26" width="2.140625" style="269" customWidth="1"/>
    <col min="27" max="27" width="11.85546875" style="269" customWidth="1"/>
    <col min="28" max="28" width="12.42578125" style="269" customWidth="1"/>
    <col min="29" max="29" width="12" style="269" customWidth="1"/>
    <col min="30" max="30" width="10.140625" style="269" customWidth="1"/>
    <col min="31" max="31" width="12.85546875" style="269" customWidth="1"/>
    <col min="32" max="32" width="11.28515625" style="269" customWidth="1"/>
    <col min="33" max="33" width="5" style="269" customWidth="1"/>
    <col min="34" max="16384" width="9.140625" style="269"/>
  </cols>
  <sheetData>
    <row r="1" spans="2:33" ht="15.75" x14ac:dyDescent="0.2">
      <c r="B1" s="49"/>
      <c r="E1" s="268" t="s">
        <v>375</v>
      </c>
      <c r="L1" s="108"/>
      <c r="M1" s="270"/>
      <c r="N1" s="247"/>
      <c r="O1" s="271"/>
      <c r="P1" s="272" t="s">
        <v>278</v>
      </c>
      <c r="Q1" s="247"/>
      <c r="R1" s="247"/>
      <c r="S1" s="273"/>
    </row>
    <row r="2" spans="2:33" x14ac:dyDescent="0.2">
      <c r="B2" s="107"/>
      <c r="C2" s="267"/>
      <c r="D2" s="274"/>
      <c r="F2" s="274"/>
      <c r="G2" s="274"/>
      <c r="H2" s="274"/>
      <c r="I2" s="275"/>
      <c r="L2" s="335"/>
      <c r="M2" s="267"/>
      <c r="N2" s="274"/>
      <c r="O2" s="274"/>
      <c r="P2" s="274"/>
      <c r="Q2" s="274"/>
      <c r="R2" s="274"/>
      <c r="S2" s="274"/>
      <c r="T2" s="274"/>
      <c r="U2" s="275"/>
      <c r="V2" s="366"/>
    </row>
    <row r="3" spans="2:33" ht="15" customHeight="1" x14ac:dyDescent="0.2">
      <c r="B3" s="31" t="s">
        <v>272</v>
      </c>
      <c r="C3" s="276"/>
      <c r="D3" s="270"/>
      <c r="E3" s="270" t="s">
        <v>277</v>
      </c>
      <c r="F3" s="270"/>
      <c r="G3" s="270"/>
      <c r="H3" s="270"/>
      <c r="I3" s="277"/>
      <c r="L3" s="31" t="s">
        <v>22</v>
      </c>
      <c r="M3" s="276"/>
      <c r="N3" s="270"/>
      <c r="P3" s="270"/>
      <c r="Q3" s="270" t="s">
        <v>282</v>
      </c>
      <c r="R3" s="270"/>
      <c r="S3" s="270"/>
      <c r="T3" s="270"/>
      <c r="U3" s="277"/>
      <c r="V3" s="366"/>
    </row>
    <row r="4" spans="2:33" ht="15" customHeight="1" x14ac:dyDescent="0.2">
      <c r="B4" s="31" t="s">
        <v>273</v>
      </c>
      <c r="C4" s="278"/>
      <c r="D4" s="279"/>
      <c r="E4" s="279" t="s">
        <v>404</v>
      </c>
      <c r="F4" s="279"/>
      <c r="G4" s="279"/>
      <c r="H4" s="279"/>
      <c r="I4" s="280"/>
      <c r="L4" s="109" t="s">
        <v>279</v>
      </c>
      <c r="M4" s="278"/>
      <c r="N4" s="279"/>
      <c r="O4" s="281"/>
      <c r="Q4" s="279" t="s">
        <v>405</v>
      </c>
      <c r="R4" s="279"/>
      <c r="S4" s="270"/>
      <c r="T4" s="270"/>
      <c r="U4" s="277"/>
      <c r="V4" s="366"/>
    </row>
    <row r="5" spans="2:33" ht="15" customHeight="1" x14ac:dyDescent="0.2">
      <c r="B5" s="31" t="s">
        <v>274</v>
      </c>
      <c r="C5" s="263"/>
      <c r="D5" s="282"/>
      <c r="E5" s="282" t="s">
        <v>334</v>
      </c>
      <c r="F5" s="282"/>
      <c r="G5" s="282"/>
      <c r="H5" s="282"/>
      <c r="I5" s="283"/>
      <c r="L5" s="109" t="s">
        <v>280</v>
      </c>
      <c r="M5" s="263"/>
      <c r="N5" s="282"/>
      <c r="P5" s="282"/>
      <c r="Q5" s="282" t="s">
        <v>333</v>
      </c>
      <c r="R5" s="282"/>
      <c r="S5" s="282"/>
      <c r="T5" s="282"/>
      <c r="U5" s="283"/>
      <c r="V5" s="366"/>
    </row>
    <row r="6" spans="2:33" ht="15" customHeight="1" x14ac:dyDescent="0.2">
      <c r="B6" s="31" t="s">
        <v>275</v>
      </c>
      <c r="C6" s="500" t="s">
        <v>374</v>
      </c>
      <c r="D6" s="500" t="s">
        <v>270</v>
      </c>
      <c r="E6" s="481" t="s">
        <v>271</v>
      </c>
      <c r="F6" s="502" t="s">
        <v>395</v>
      </c>
      <c r="G6" s="500" t="s">
        <v>269</v>
      </c>
      <c r="H6" s="500" t="s">
        <v>373</v>
      </c>
      <c r="I6" s="481" t="s">
        <v>271</v>
      </c>
      <c r="L6" s="109" t="s">
        <v>274</v>
      </c>
      <c r="M6" s="499" t="s">
        <v>270</v>
      </c>
      <c r="N6" s="500" t="s">
        <v>269</v>
      </c>
      <c r="O6" s="500" t="s">
        <v>373</v>
      </c>
      <c r="P6" s="481" t="s">
        <v>281</v>
      </c>
      <c r="Q6" s="481" t="s">
        <v>281</v>
      </c>
      <c r="R6" s="481" t="s">
        <v>281</v>
      </c>
      <c r="S6" s="481" t="s">
        <v>281</v>
      </c>
      <c r="T6" s="481" t="s">
        <v>281</v>
      </c>
      <c r="U6" s="481" t="s">
        <v>281</v>
      </c>
      <c r="V6" s="366"/>
      <c r="AB6" s="305"/>
    </row>
    <row r="7" spans="2:33" ht="15" customHeight="1" x14ac:dyDescent="0.2">
      <c r="B7" s="31" t="s">
        <v>276</v>
      </c>
      <c r="C7" s="501"/>
      <c r="D7" s="501"/>
      <c r="E7" s="482"/>
      <c r="F7" s="503"/>
      <c r="G7" s="501"/>
      <c r="H7" s="501"/>
      <c r="I7" s="482"/>
      <c r="L7" s="31" t="s">
        <v>284</v>
      </c>
      <c r="M7" s="499"/>
      <c r="N7" s="501"/>
      <c r="O7" s="501"/>
      <c r="P7" s="482"/>
      <c r="Q7" s="482"/>
      <c r="R7" s="482"/>
      <c r="S7" s="482"/>
      <c r="T7" s="482"/>
      <c r="U7" s="482"/>
      <c r="V7" s="366"/>
      <c r="AE7" s="144" t="s">
        <v>399</v>
      </c>
    </row>
    <row r="8" spans="2:33" ht="15" customHeight="1" x14ac:dyDescent="0.2">
      <c r="B8" s="31" t="s">
        <v>385</v>
      </c>
      <c r="C8" s="263"/>
      <c r="D8" s="282"/>
      <c r="E8" s="282"/>
      <c r="F8" s="282"/>
      <c r="G8" s="282"/>
      <c r="H8" s="282"/>
      <c r="I8" s="283"/>
      <c r="L8" s="109" t="s">
        <v>283</v>
      </c>
      <c r="M8" s="284"/>
      <c r="N8" s="282"/>
      <c r="P8" s="282"/>
      <c r="Q8" s="282" t="s">
        <v>332</v>
      </c>
      <c r="R8" s="282"/>
      <c r="S8" s="279"/>
      <c r="T8" s="279"/>
      <c r="U8" s="280"/>
      <c r="V8" s="366"/>
      <c r="AA8" s="303"/>
      <c r="AB8" s="304" t="s">
        <v>381</v>
      </c>
      <c r="AC8" s="298"/>
      <c r="AD8" s="302"/>
      <c r="AE8" s="293" t="s">
        <v>402</v>
      </c>
      <c r="AF8" s="281"/>
    </row>
    <row r="9" spans="2:33" ht="19.5" customHeight="1" thickBot="1" x14ac:dyDescent="0.25">
      <c r="B9" s="35"/>
      <c r="C9" s="285"/>
      <c r="D9" s="285"/>
      <c r="E9" s="285"/>
      <c r="F9" s="285"/>
      <c r="G9" s="285"/>
      <c r="H9" s="285"/>
      <c r="I9" s="285"/>
      <c r="L9" s="35" t="s">
        <v>392</v>
      </c>
      <c r="M9" s="350">
        <v>0.2</v>
      </c>
      <c r="N9" s="351">
        <v>0.3</v>
      </c>
      <c r="O9" s="340">
        <v>0.4</v>
      </c>
      <c r="P9" s="340">
        <v>0.5</v>
      </c>
      <c r="Q9" s="340">
        <v>0.6</v>
      </c>
      <c r="R9" s="340">
        <v>0.7</v>
      </c>
      <c r="S9" s="340">
        <v>0.8</v>
      </c>
      <c r="T9" s="340">
        <v>0.9</v>
      </c>
      <c r="U9" s="340">
        <v>1</v>
      </c>
      <c r="V9" s="366"/>
      <c r="W9" s="285" t="s">
        <v>13</v>
      </c>
      <c r="X9" s="285" t="s">
        <v>406</v>
      </c>
      <c r="Y9" s="473" t="s">
        <v>377</v>
      </c>
      <c r="Z9" s="474"/>
      <c r="AA9" s="285" t="s">
        <v>378</v>
      </c>
      <c r="AB9" s="285" t="s">
        <v>379</v>
      </c>
      <c r="AC9" s="286" t="s">
        <v>380</v>
      </c>
      <c r="AD9" s="286" t="s">
        <v>400</v>
      </c>
      <c r="AE9" s="357" t="s">
        <v>397</v>
      </c>
      <c r="AF9" s="147" t="s">
        <v>401</v>
      </c>
      <c r="AG9" s="284" t="s">
        <v>398</v>
      </c>
    </row>
    <row r="10" spans="2:33" ht="15" customHeight="1" thickTop="1" x14ac:dyDescent="0.2">
      <c r="B10" s="310">
        <v>3</v>
      </c>
      <c r="C10" s="325">
        <v>750</v>
      </c>
      <c r="D10" s="326">
        <v>660</v>
      </c>
      <c r="E10" s="371">
        <v>300</v>
      </c>
      <c r="F10" s="326">
        <v>310</v>
      </c>
      <c r="G10" s="326">
        <v>200</v>
      </c>
      <c r="H10" s="326">
        <v>110</v>
      </c>
      <c r="I10" s="371">
        <v>60</v>
      </c>
      <c r="L10" s="310">
        <v>1</v>
      </c>
      <c r="M10" s="308">
        <v>3.5</v>
      </c>
      <c r="N10" s="308">
        <v>2.2999999999999998</v>
      </c>
      <c r="O10" s="309">
        <v>1.5</v>
      </c>
      <c r="P10" s="309">
        <v>1.2</v>
      </c>
      <c r="Q10" s="309">
        <v>0.8</v>
      </c>
      <c r="R10" s="309">
        <v>0.4</v>
      </c>
      <c r="S10" s="309">
        <v>0.4</v>
      </c>
      <c r="T10" s="332">
        <v>0.3</v>
      </c>
      <c r="U10" s="332">
        <v>0.2</v>
      </c>
      <c r="V10" s="366"/>
      <c r="W10" s="358">
        <v>1</v>
      </c>
      <c r="X10" s="398">
        <f>'PILE-99'!I28</f>
        <v>1.375</v>
      </c>
      <c r="Y10" s="479">
        <f>'PILE-99'!G28</f>
        <v>0.53</v>
      </c>
      <c r="Z10" s="480"/>
      <c r="AA10" s="342">
        <f>IF(Y10="c¸t th«",LOOKUP(CEILING(X10,0.4),L10:L78,M10:M78),IF(Y10="c¸t mÞn",LOOKUP(CEILING(X10,0.4),L10:L78,N10:N78),IF(Y10="c¸t bôi",LOOKUP(CEILING(X10,0.4),L10:L78,O10:O78),0)))</f>
        <v>0</v>
      </c>
      <c r="AB10" s="342">
        <f>IF(Y10&lt;=0.2,LOOKUP(CEILING(X10,0.4),L10:L78,M10:M78),IF(Y10&lt;=0.3,LOOKUP(CEILING(X10,0.4),L10:L78,N10:N78),IF(Y10&lt;=0.4,LOOKUP(CEILING(X10,0.4),L10:L78,O10:O78),IF(Y10&lt;=0.5,LOOKUP(CEILING(X10,0.4),L10:L78,P10:P78),IF(Y10&lt;=0.6,LOOKUP(CEILING(X10,0.4),L10:L78,Q10:Q78),0)))))</f>
        <v>1</v>
      </c>
      <c r="AC10" s="344">
        <f>IF(AB10=0,IF(Y10&lt;=0.7,LOOKUP(CEILING(X10,0.4),L10:L78,R10:R78),IF(Y10&lt;=0.8,LOOKUP(CEILING(X10,0.4),L10:L78,S10:S78),IF(Y10&lt;=0.9,LOOKUP(CEILING(X10,0.4),L10:L78,T10:T78),IF(Y10&lt;=1,LOOKUP(CEILING(X10,0.4),L10:L78,U10:U78),0)))),0)</f>
        <v>0</v>
      </c>
      <c r="AD10" s="299">
        <f>MAX(AB10,AC10)</f>
        <v>1</v>
      </c>
      <c r="AE10" s="354">
        <f t="shared" ref="AE10:AE21" si="0">MAX(AD10,AA10)</f>
        <v>1</v>
      </c>
      <c r="AF10" s="359">
        <v>1</v>
      </c>
      <c r="AG10" s="359">
        <v>0</v>
      </c>
    </row>
    <row r="11" spans="2:33" ht="15" customHeight="1" x14ac:dyDescent="0.2">
      <c r="B11" s="297">
        <f t="shared" ref="B11:I11" si="1">(B10+B12)/2</f>
        <v>3.5</v>
      </c>
      <c r="C11" s="328">
        <f t="shared" si="1"/>
        <v>790</v>
      </c>
      <c r="D11" s="328">
        <f t="shared" si="1"/>
        <v>670</v>
      </c>
      <c r="E11" s="372">
        <f t="shared" si="1"/>
        <v>340</v>
      </c>
      <c r="F11" s="328">
        <f t="shared" si="1"/>
        <v>315</v>
      </c>
      <c r="G11" s="328">
        <f t="shared" si="1"/>
        <v>205</v>
      </c>
      <c r="H11" s="328">
        <f t="shared" si="1"/>
        <v>117.5</v>
      </c>
      <c r="I11" s="372">
        <f t="shared" si="1"/>
        <v>65</v>
      </c>
      <c r="L11" s="297">
        <f>(L10+L12)/2</f>
        <v>1.5</v>
      </c>
      <c r="M11" s="120">
        <f>(M10+M12)/2</f>
        <v>3.85</v>
      </c>
      <c r="N11" s="120">
        <f t="shared" ref="N11:U11" si="2">(N10+N12)/2</f>
        <v>2.65</v>
      </c>
      <c r="O11" s="120">
        <f t="shared" si="2"/>
        <v>1.8</v>
      </c>
      <c r="P11" s="120">
        <f t="shared" si="2"/>
        <v>1.45</v>
      </c>
      <c r="Q11" s="120">
        <f t="shared" si="2"/>
        <v>1</v>
      </c>
      <c r="R11" s="120">
        <f t="shared" si="2"/>
        <v>0.55000000000000004</v>
      </c>
      <c r="S11" s="120">
        <f t="shared" si="2"/>
        <v>0.45</v>
      </c>
      <c r="T11" s="120">
        <f t="shared" si="2"/>
        <v>0.35</v>
      </c>
      <c r="U11" s="120">
        <f t="shared" si="2"/>
        <v>0.30000000000000004</v>
      </c>
      <c r="V11" s="366"/>
      <c r="W11" s="358">
        <v>2</v>
      </c>
      <c r="X11" s="398">
        <f>'PILE-99'!I29</f>
        <v>1.9000000000000001</v>
      </c>
      <c r="Y11" s="475">
        <f>'PILE-99'!G29</f>
        <v>0.54</v>
      </c>
      <c r="Z11" s="476"/>
      <c r="AA11" s="342">
        <f>IF(Y11="c¸t th«",LOOKUP(CEILING(X11,0.4),L10:L78,M10:M78),IF(Y11="c¸t mÞn",LOOKUP(CEILING(X11,0.4),L10:L78,N10:N78),IF(Y11="c¸t bôi",LOOKUP(CEILING(X11,0.4),L10:L78,O10:O78),0)))</f>
        <v>0</v>
      </c>
      <c r="AB11" s="342">
        <f>IF(Y11&lt;=0.2,LOOKUP(CEILING(X11,0.4),L10:L78,M10:M78),IF(Y11&lt;=0.3,LOOKUP(CEILING(X11,0.4),L10:L78,N10:N78),IF(Y11&lt;=0.4,LOOKUP(CEILING(X11,0.4),L10:L78,O10:O78),IF(Y11&lt;=0.5,LOOKUP(CEILING(X11,0.4),L10:L78,P10:P78),IF(Y11&lt;=0.6,LOOKUP(CEILING(X11,0.4),L10:L78,Q10:Q78),0)))))</f>
        <v>1.2</v>
      </c>
      <c r="AC11" s="344">
        <f>IF(AB11=0,IF(Y11&lt;=0.7,LOOKUP(CEILING(X11,0.4),L10:L78,R10:R78),IF(Y11&lt;=0.8,LOOKUP(CEILING(X11,0.4),L10:L78,S10:S78),IF(Y11&lt;=0.9,LOOKUP(CEILING(X11,0.4),L10:L78,T10:T78),IF(Y11&lt;=1,LOOKUP(CEILING(X11,0.4),L10:L78,U10:U78),0)))),0)</f>
        <v>0</v>
      </c>
      <c r="AD11" s="299">
        <f t="shared" ref="AD11:AD21" si="3">MAX(AB11,AC11)</f>
        <v>1.2</v>
      </c>
      <c r="AE11" s="354">
        <f t="shared" si="0"/>
        <v>1.2</v>
      </c>
      <c r="AF11" s="359">
        <v>2</v>
      </c>
      <c r="AG11" s="359">
        <v>0</v>
      </c>
    </row>
    <row r="12" spans="2:33" ht="15" customHeight="1" x14ac:dyDescent="0.2">
      <c r="B12" s="311">
        <v>4</v>
      </c>
      <c r="C12" s="325">
        <v>830</v>
      </c>
      <c r="D12" s="326">
        <v>680</v>
      </c>
      <c r="E12" s="327">
        <v>380</v>
      </c>
      <c r="F12" s="326">
        <v>320</v>
      </c>
      <c r="G12" s="326">
        <v>210</v>
      </c>
      <c r="H12" s="326">
        <v>125</v>
      </c>
      <c r="I12" s="327">
        <v>70</v>
      </c>
      <c r="L12" s="311">
        <v>2</v>
      </c>
      <c r="M12" s="308">
        <v>4.2</v>
      </c>
      <c r="N12" s="308">
        <v>3</v>
      </c>
      <c r="O12" s="309">
        <v>2.1</v>
      </c>
      <c r="P12" s="309">
        <v>1.7</v>
      </c>
      <c r="Q12" s="309">
        <v>1.2</v>
      </c>
      <c r="R12" s="309">
        <v>0.7</v>
      </c>
      <c r="S12" s="309">
        <v>0.5</v>
      </c>
      <c r="T12" s="332">
        <v>0.4</v>
      </c>
      <c r="U12" s="332">
        <v>0.4</v>
      </c>
      <c r="V12" s="366"/>
      <c r="W12" s="358">
        <v>3</v>
      </c>
      <c r="X12" s="398">
        <f>'PILE-99'!I30</f>
        <v>2.95</v>
      </c>
      <c r="Y12" s="475">
        <f>'PILE-99'!G30</f>
        <v>0.43</v>
      </c>
      <c r="Z12" s="476"/>
      <c r="AA12" s="342">
        <f>IF(Y12="c¸t th«",LOOKUP(CEILING(X12,0.4),L10:L78,M10:M78),IF(Y12="c¸t mÞn",LOOKUP(CEILING(X12,0.4),L10:L78,N10:N78),IF(Y12="c¸t bôi",LOOKUP(CEILING(X12,0.4),L10:L78,O10:O78),0)))</f>
        <v>0</v>
      </c>
      <c r="AB12" s="342">
        <f>IF(Y12&lt;=0.2,LOOKUP(CEILING(X12,0.4),L10:L78,M10:M78),IF(Y12&lt;=0.3,LOOKUP(CEILING(X12,0.4),L10:L78,N10:N78),IF(Y12&lt;=0.4,LOOKUP(CEILING(X12,0.4),L10:L78,O10:O78),IF(Y12&lt;=0.5,LOOKUP(CEILING(X12,0.4),L10:L78,P10:P78),IF(Y12&lt;=0.6,LOOKUP(CEILING(X12,0.4),L10:L78,Q10:Q78),0)))))</f>
        <v>2</v>
      </c>
      <c r="AC12" s="344">
        <f>IF(AB12=0,IF(Y12&lt;=0.7,LOOKUP(CEILING(X12,0.4),L10:L78,R10:R78),IF(Y12&lt;=0.8,LOOKUP(CEILING(X12,0.4),L10:L78,S10:S78),IF(Y12&lt;=0.9,LOOKUP(CEILING(X12,0.4),L10:L78,T10:T78),IF(Y12&lt;=1,LOOKUP(CEILING(X12,0.4),L10:L78,U10:U78),0)))),0)</f>
        <v>0</v>
      </c>
      <c r="AD12" s="299">
        <f t="shared" si="3"/>
        <v>2</v>
      </c>
      <c r="AE12" s="354">
        <f t="shared" si="0"/>
        <v>2</v>
      </c>
      <c r="AF12" s="359">
        <v>3</v>
      </c>
      <c r="AG12" s="359">
        <v>0</v>
      </c>
    </row>
    <row r="13" spans="2:33" ht="15" customHeight="1" x14ac:dyDescent="0.2">
      <c r="B13" s="297">
        <f t="shared" ref="B13:I13" si="4">(B12+B14)/2</f>
        <v>4.5</v>
      </c>
      <c r="C13" s="328">
        <f t="shared" si="4"/>
        <v>855</v>
      </c>
      <c r="D13" s="328">
        <f t="shared" si="4"/>
        <v>690</v>
      </c>
      <c r="E13" s="372">
        <f t="shared" si="4"/>
        <v>390</v>
      </c>
      <c r="F13" s="328">
        <f t="shared" si="4"/>
        <v>330</v>
      </c>
      <c r="G13" s="328">
        <f t="shared" si="4"/>
        <v>215</v>
      </c>
      <c r="H13" s="328">
        <f t="shared" si="4"/>
        <v>127.5</v>
      </c>
      <c r="I13" s="372">
        <f t="shared" si="4"/>
        <v>75</v>
      </c>
      <c r="L13" s="297">
        <f>(L12+L14)/2</f>
        <v>2.5</v>
      </c>
      <c r="M13" s="120">
        <f>(M12+M14)/2</f>
        <v>4.5</v>
      </c>
      <c r="N13" s="120">
        <f t="shared" ref="N13:U13" si="5">(N12+N14)/2</f>
        <v>3.25</v>
      </c>
      <c r="O13" s="120">
        <f t="shared" si="5"/>
        <v>2.2999999999999998</v>
      </c>
      <c r="P13" s="120">
        <f t="shared" si="5"/>
        <v>1.85</v>
      </c>
      <c r="Q13" s="120">
        <f t="shared" si="5"/>
        <v>1.2999999999999998</v>
      </c>
      <c r="R13" s="120">
        <f t="shared" si="5"/>
        <v>0.75</v>
      </c>
      <c r="S13" s="120">
        <f t="shared" si="5"/>
        <v>0.6</v>
      </c>
      <c r="T13" s="120">
        <f t="shared" si="5"/>
        <v>0.5</v>
      </c>
      <c r="U13" s="120">
        <f t="shared" si="5"/>
        <v>0.45</v>
      </c>
      <c r="V13" s="366"/>
      <c r="W13" s="358">
        <v>4</v>
      </c>
      <c r="X13" s="398">
        <f>'PILE-99'!I31</f>
        <v>9.125</v>
      </c>
      <c r="Y13" s="475" t="str">
        <f>'PILE-99'!G31</f>
        <v>c¸t mÞn</v>
      </c>
      <c r="Z13" s="476"/>
      <c r="AA13" s="342">
        <f>IF(Y13="c¸t th«",LOOKUP(CEILING(X13,0.4),L10:L78,M10:M78),IF(Y13="c¸t mÞn",LOOKUP(CEILING(X13,0.4),L10:L78,N10:N78),IF(Y13="c¸t bôi",LOOKUP(CEILING(X13,0.4),L10:L78,O10:O78),0)))</f>
        <v>4.5</v>
      </c>
      <c r="AB13" s="342">
        <f>IF(Y13&lt;=0.2,LOOKUP(CEILING(X13,0.4),L10:L78,M10:M78),IF(Y13&lt;=0.3,LOOKUP(CEILING(X13,0.4),L10:L78,N10:N78),IF(Y13&lt;=0.4,LOOKUP(CEILING(X13,0.4),L10:L78,O10:O78),IF(Y13&lt;=0.5,LOOKUP(CEILING(X13,0.4),L10:L78,P10:P78),IF(Y13&lt;=0.6,LOOKUP(CEILING(X13,0.4),L10:L78,Q10:Q78),0)))))</f>
        <v>0</v>
      </c>
      <c r="AC13" s="344">
        <f>IF(AB13=0,IF(Y13&lt;=0.7,LOOKUP(CEILING(X13,0.4),L10:L78,R10:R78),IF(Y13&lt;=0.8,LOOKUP(CEILING(X13,0.4),L10:L78,S10:S78),IF(Y13&lt;=0.9,LOOKUP(CEILING(X13,0.4),L10:L78,T10:T78),IF(Y13&lt;=1,LOOKUP(CEILING(X13,0.4),L10:L78,U10:U78),0)))),0)</f>
        <v>0</v>
      </c>
      <c r="AD13" s="299">
        <f t="shared" si="3"/>
        <v>0</v>
      </c>
      <c r="AE13" s="354">
        <f t="shared" si="0"/>
        <v>4.5</v>
      </c>
      <c r="AF13" s="359">
        <v>4</v>
      </c>
      <c r="AG13" s="359">
        <v>0</v>
      </c>
    </row>
    <row r="14" spans="2:33" ht="15" customHeight="1" x14ac:dyDescent="0.2">
      <c r="B14" s="311">
        <v>5</v>
      </c>
      <c r="C14" s="325">
        <v>880</v>
      </c>
      <c r="D14" s="326">
        <v>700</v>
      </c>
      <c r="E14" s="327">
        <v>400</v>
      </c>
      <c r="F14" s="326">
        <v>340</v>
      </c>
      <c r="G14" s="326">
        <v>220</v>
      </c>
      <c r="H14" s="326">
        <v>130</v>
      </c>
      <c r="I14" s="327">
        <v>80</v>
      </c>
      <c r="L14" s="311">
        <v>3</v>
      </c>
      <c r="M14" s="308">
        <v>4.8</v>
      </c>
      <c r="N14" s="308">
        <v>3.5</v>
      </c>
      <c r="O14" s="309">
        <v>2.5</v>
      </c>
      <c r="P14" s="309">
        <v>2</v>
      </c>
      <c r="Q14" s="309">
        <v>1.4</v>
      </c>
      <c r="R14" s="309">
        <v>0.8</v>
      </c>
      <c r="S14" s="309">
        <v>0.7</v>
      </c>
      <c r="T14" s="332">
        <v>0.6</v>
      </c>
      <c r="U14" s="332">
        <v>0.5</v>
      </c>
      <c r="V14" s="366"/>
      <c r="W14" s="358">
        <v>5</v>
      </c>
      <c r="X14" s="398">
        <f>'PILE-99'!I32</f>
        <v>14.55</v>
      </c>
      <c r="Y14" s="475" t="str">
        <f>'PILE-99'!G32</f>
        <v>-</v>
      </c>
      <c r="Z14" s="476"/>
      <c r="AA14" s="342">
        <f>IF(Y14="c¸t th«",LOOKUP(CEILING(X14,0.4),L10:L78,M10:M78),IF(Y14="c¸t mÞn",LOOKUP(CEILING(X14,0.4),L10:L78,N10:N78),IF(Y14="c¸t bôi",LOOKUP(CEILING(X14,0.4),L10:L78,O10:O78),0)))</f>
        <v>0</v>
      </c>
      <c r="AB14" s="342">
        <f>IF(Y14&lt;=0.2,LOOKUP(CEILING(X14,0.4),L10:L78,M10:M78),IF(Y14&lt;=0.3,LOOKUP(CEILING(X14,0.4),L10:L78,N10:N78),IF(Y14&lt;=0.4,LOOKUP(CEILING(X14,0.4),L10:L78,O10:O78),IF(Y14&lt;=0.5,LOOKUP(CEILING(X14,0.4),L10:L78,P10:P78),IF(Y14&lt;=0.6,LOOKUP(CEILING(X14,0.4),L10:L78,Q10:Q78),0)))))</f>
        <v>0</v>
      </c>
      <c r="AC14" s="344">
        <f>IF(AB14=0,IF(Y14&lt;=0.7,LOOKUP(CEILING(X14,0.4),L10:L78,R10:R78),IF(Y14&lt;=0.8,LOOKUP(CEILING(X14,0.4),L10:L78,S10:S78),IF(Y14&lt;=0.9,LOOKUP(CEILING(X14,0.4),L10:L78,T10:T78),IF(Y14&lt;=1,LOOKUP(CEILING(X14,0.4),L10:L78,U10:U78),0)))),0)</f>
        <v>0</v>
      </c>
      <c r="AD14" s="299">
        <f t="shared" si="3"/>
        <v>0</v>
      </c>
      <c r="AE14" s="354">
        <f t="shared" si="0"/>
        <v>0</v>
      </c>
      <c r="AF14" s="359">
        <v>5</v>
      </c>
      <c r="AG14" s="359">
        <v>0</v>
      </c>
    </row>
    <row r="15" spans="2:33" ht="15" customHeight="1" x14ac:dyDescent="0.2">
      <c r="B15" s="297">
        <f>(B14+B16)/2</f>
        <v>5.5</v>
      </c>
      <c r="C15" s="328">
        <f t="shared" ref="C15:I15" si="6">((B14-B15)*C18-(B18-B15)*C14)/((B14-B15)-(B18-B15))</f>
        <v>902.5</v>
      </c>
      <c r="D15" s="328">
        <f t="shared" si="6"/>
        <v>707.5</v>
      </c>
      <c r="E15" s="372">
        <f t="shared" si="6"/>
        <v>407.5</v>
      </c>
      <c r="F15" s="328">
        <f t="shared" si="6"/>
        <v>347.5</v>
      </c>
      <c r="G15" s="328">
        <f t="shared" si="6"/>
        <v>225</v>
      </c>
      <c r="H15" s="328">
        <f t="shared" si="6"/>
        <v>132.5</v>
      </c>
      <c r="I15" s="372">
        <f t="shared" si="6"/>
        <v>81.25</v>
      </c>
      <c r="L15" s="297">
        <f>(L14+L16)/2</f>
        <v>3.5</v>
      </c>
      <c r="M15" s="120">
        <f>(M14+M16)/2</f>
        <v>5.05</v>
      </c>
      <c r="N15" s="120">
        <f t="shared" ref="N15:U15" si="7">(N14+N16)/2</f>
        <v>3.65</v>
      </c>
      <c r="O15" s="120">
        <f t="shared" si="7"/>
        <v>2.6</v>
      </c>
      <c r="P15" s="120">
        <f t="shared" si="7"/>
        <v>2.1</v>
      </c>
      <c r="Q15" s="120">
        <f t="shared" si="7"/>
        <v>1.5</v>
      </c>
      <c r="R15" s="120">
        <f t="shared" si="7"/>
        <v>0.85000000000000009</v>
      </c>
      <c r="S15" s="120">
        <f t="shared" si="7"/>
        <v>0.75</v>
      </c>
      <c r="T15" s="120">
        <f t="shared" si="7"/>
        <v>0.64999999999999991</v>
      </c>
      <c r="U15" s="120">
        <f t="shared" si="7"/>
        <v>0.5</v>
      </c>
      <c r="V15" s="366"/>
      <c r="W15" s="358">
        <v>6</v>
      </c>
      <c r="X15" s="398">
        <f>'PILE-99'!I33</f>
        <v>14.55</v>
      </c>
      <c r="Y15" s="475" t="str">
        <f>'PILE-99'!G33</f>
        <v>-</v>
      </c>
      <c r="Z15" s="476"/>
      <c r="AA15" s="342">
        <f>IF(Y15="c¸t th«",LOOKUP(CEILING(X15,0.4),L10:L78,M10:M78),IF(Y15="c¸t mÞn",LOOKUP(CEILING(X15,0.4),L10:L78,N10:N78),IF(Y15="c¸t bôi",LOOKUP(CEILING(X15,0.4),L10:L78,O10:O78),0)))</f>
        <v>0</v>
      </c>
      <c r="AB15" s="342">
        <f>IF(Y15&lt;=0.2,LOOKUP(CEILING(X15,0.4),L10:L78,M10:M78),IF(Y15&lt;=0.3,LOOKUP(CEILING(X15,0.4),L10:L78,N10:N78),IF(Y15&lt;=0.4,LOOKUP(CEILING(X15,0.4),L10:L78,O10:O78),IF(Y15&lt;=0.5,LOOKUP(CEILING(X15,0.4),L10:L78,P10:P78),IF(Y15&lt;=0.6,LOOKUP(CEILING(X15,0.4),L10:L78,Q10:Q78),0)))))</f>
        <v>0</v>
      </c>
      <c r="AC15" s="344">
        <f>IF(AB15=0,IF(Y15&lt;=0.7,LOOKUP(CEILING(X15,0.4),L10:L78,R10:R78),IF(Y15&lt;=0.8,LOOKUP(CEILING(X15,0.4),L10:L78,S10:S78),IF(Y15&lt;=0.9,LOOKUP(CEILING(X15,0.4),L10:L78,T10:T78),IF(Y15&lt;=1,LOOKUP(CEILING(X15,0.4),L10:L78,U10:U78),0)))),0)</f>
        <v>0</v>
      </c>
      <c r="AD15" s="299">
        <f t="shared" si="3"/>
        <v>0</v>
      </c>
      <c r="AE15" s="354">
        <f t="shared" si="0"/>
        <v>0</v>
      </c>
      <c r="AF15" s="359">
        <v>6</v>
      </c>
      <c r="AG15" s="359">
        <v>0</v>
      </c>
    </row>
    <row r="16" spans="2:33" ht="15" customHeight="1" x14ac:dyDescent="0.2">
      <c r="B16" s="297">
        <v>6</v>
      </c>
      <c r="C16" s="328">
        <f>((B14-B16)*C18-(B18-B16)*C14)/((B14-B16)-(B18-B16))</f>
        <v>925</v>
      </c>
      <c r="D16" s="328">
        <f t="shared" ref="D16:I16" si="8">((C14-C16)*D18-(C18-C16)*D14)/((C14-C16)-(C18-C16))</f>
        <v>715</v>
      </c>
      <c r="E16" s="372">
        <f t="shared" si="8"/>
        <v>415</v>
      </c>
      <c r="F16" s="328">
        <f t="shared" si="8"/>
        <v>355</v>
      </c>
      <c r="G16" s="328">
        <f t="shared" si="8"/>
        <v>230</v>
      </c>
      <c r="H16" s="328">
        <f t="shared" si="8"/>
        <v>135</v>
      </c>
      <c r="I16" s="372">
        <f t="shared" si="8"/>
        <v>82.5</v>
      </c>
      <c r="L16" s="311">
        <v>4</v>
      </c>
      <c r="M16" s="308">
        <v>5.3</v>
      </c>
      <c r="N16" s="308">
        <v>3.8</v>
      </c>
      <c r="O16" s="309">
        <v>2.7</v>
      </c>
      <c r="P16" s="309">
        <v>2.2000000000000002</v>
      </c>
      <c r="Q16" s="309">
        <v>1.6</v>
      </c>
      <c r="R16" s="309">
        <v>0.9</v>
      </c>
      <c r="S16" s="309">
        <v>0.8</v>
      </c>
      <c r="T16" s="332">
        <v>0.7</v>
      </c>
      <c r="U16" s="332">
        <v>0.5</v>
      </c>
      <c r="V16" s="366"/>
      <c r="W16" s="358">
        <v>7</v>
      </c>
      <c r="X16" s="398">
        <f>'PILE-99'!I34</f>
        <v>14.55</v>
      </c>
      <c r="Y16" s="475" t="str">
        <f>'PILE-99'!G34</f>
        <v>-</v>
      </c>
      <c r="Z16" s="476"/>
      <c r="AA16" s="342">
        <f>IF(Y16="c¸t th«",LOOKUP(CEILING(X16,0.4),L10:L78,M10:M78),IF(Y16="c¸t mÞn",LOOKUP(CEILING(X16,0.4),L10:L78,N10:N78),IF(Y16="c¸t bôi",LOOKUP(CEILING(X16,0.4),L10:L78,O10:O78),0)))</f>
        <v>0</v>
      </c>
      <c r="AB16" s="342">
        <f>IF(Y16&lt;=0.2,LOOKUP(CEILING(X16,0.4),L10:L78,M10:M78),IF(Y16&lt;=0.3,LOOKUP(CEILING(X16,0.4),L10:L78,N10:N78),IF(Y16&lt;=0.4,LOOKUP(CEILING(X16,0.4),L10:L78,O10:O78),IF(Y16&lt;=0.5,LOOKUP(CEILING(X16,0.4),L10:L78,P10:P78),IF(Y16&lt;=0.6,LOOKUP(CEILING(X16,0.4),L10:L78,Q10:Q78),0)))))</f>
        <v>0</v>
      </c>
      <c r="AC16" s="344">
        <f>IF(AB16=0,IF(Y16&lt;=0.7,LOOKUP(CEILING(X16,0.4),L10:L78,R10:R78),IF(Y16&lt;=0.8,LOOKUP(CEILING(X16,0.4),L10:L78,S10:S78),IF(Y16&lt;=0.9,LOOKUP(CEILING(X16,0.4),L10:L78,T10:T78),IF(Y16&lt;=1,LOOKUP(CEILING(X16,0.4),L10:L78,U10:U78),0)))),0)</f>
        <v>0</v>
      </c>
      <c r="AD16" s="299">
        <f t="shared" si="3"/>
        <v>0</v>
      </c>
      <c r="AE16" s="354">
        <f t="shared" si="0"/>
        <v>0</v>
      </c>
      <c r="AF16" s="359">
        <v>7</v>
      </c>
      <c r="AG16" s="359">
        <v>0</v>
      </c>
    </row>
    <row r="17" spans="2:33" ht="15" customHeight="1" x14ac:dyDescent="0.2">
      <c r="B17" s="297">
        <f>(B16+B18)/2</f>
        <v>6.5</v>
      </c>
      <c r="C17" s="328">
        <f>((B14-B17)*C18-(B18-B17)*C14)/((B14-B17)-(B18-B17))</f>
        <v>947.5</v>
      </c>
      <c r="D17" s="328">
        <f t="shared" ref="D17:I17" si="9">((C14-C17)*D18-(C18-C17)*D14)/((C14-C17)-(C18-C17))</f>
        <v>722.5</v>
      </c>
      <c r="E17" s="372">
        <f t="shared" si="9"/>
        <v>422.5</v>
      </c>
      <c r="F17" s="328">
        <f t="shared" si="9"/>
        <v>362.5</v>
      </c>
      <c r="G17" s="328">
        <f t="shared" si="9"/>
        <v>235</v>
      </c>
      <c r="H17" s="328">
        <f t="shared" si="9"/>
        <v>137.5</v>
      </c>
      <c r="I17" s="372">
        <f t="shared" si="9"/>
        <v>83.75</v>
      </c>
      <c r="L17" s="297">
        <f>(L16+L18)/2</f>
        <v>4.5</v>
      </c>
      <c r="M17" s="120">
        <f>(M16+M18)/2</f>
        <v>5.4499999999999993</v>
      </c>
      <c r="N17" s="120">
        <f t="shared" ref="N17:U17" si="10">(N16+N18)/2</f>
        <v>3.9</v>
      </c>
      <c r="O17" s="120">
        <f t="shared" si="10"/>
        <v>2.8</v>
      </c>
      <c r="P17" s="120">
        <f t="shared" si="10"/>
        <v>2.2999999999999998</v>
      </c>
      <c r="Q17" s="120">
        <f t="shared" si="10"/>
        <v>1.65</v>
      </c>
      <c r="R17" s="120">
        <f t="shared" si="10"/>
        <v>0.95</v>
      </c>
      <c r="S17" s="120">
        <f t="shared" si="10"/>
        <v>0.8</v>
      </c>
      <c r="T17" s="120">
        <f t="shared" si="10"/>
        <v>0.7</v>
      </c>
      <c r="U17" s="120">
        <f t="shared" si="10"/>
        <v>0.55000000000000004</v>
      </c>
      <c r="V17" s="366"/>
      <c r="W17" s="358">
        <v>8</v>
      </c>
      <c r="X17" s="398">
        <f>'PILE-99'!I35</f>
        <v>14.55</v>
      </c>
      <c r="Y17" s="475" t="str">
        <f>'PILE-99'!G35</f>
        <v>-</v>
      </c>
      <c r="Z17" s="476"/>
      <c r="AA17" s="342">
        <f>IF(Y17="c¸t th«",LOOKUP(CEILING(X17,0.4),L10:L78,M10:M78),IF(Y17="c¸t mÞn",LOOKUP(CEILING(X17,0.4),L10:L78,N10:N78),IF(Y17="c¸t bôi",LOOKUP(CEILING(X17,0.4),L10:L78,O10:O78),0)))</f>
        <v>0</v>
      </c>
      <c r="AB17" s="342">
        <f>IF(Y17&lt;=0.2,LOOKUP(CEILING(X17,0.4),L10:L78,M10:M78),IF(Y17&lt;=0.3,LOOKUP(CEILING(X17,0.4),L10:L78,N10:N78),IF(Y17&lt;=0.4,LOOKUP(CEILING(X17,0.4),L10:L78,O10:O78),IF(Y17&lt;=0.5,LOOKUP(CEILING(X17,0.4),L10:L78,P10:P78),IF(Y17&lt;=0.6,LOOKUP(CEILING(X17,0.4),L10:L78,Q10:Q78),0)))))</f>
        <v>0</v>
      </c>
      <c r="AC17" s="344">
        <f>IF(AB17=0,IF(Y17&lt;=0.7,LOOKUP(CEILING(X17,0.4),L10:L78,R10:R78),IF(Y17&lt;=0.8,LOOKUP(CEILING(X17,0.4),L10:L78,S10:S78),IF(Y17&lt;=0.9,LOOKUP(CEILING(X17,0.4),L10:L78,T10:T78),IF(Y17&lt;=1,LOOKUP(CEILING(X17,0.4),L10:L78,U10:U78),0)))),0)</f>
        <v>0</v>
      </c>
      <c r="AD17" s="299">
        <f t="shared" si="3"/>
        <v>0</v>
      </c>
      <c r="AE17" s="354">
        <f t="shared" si="0"/>
        <v>0</v>
      </c>
      <c r="AF17" s="359">
        <v>8</v>
      </c>
      <c r="AG17" s="359">
        <v>0</v>
      </c>
    </row>
    <row r="18" spans="2:33" ht="15" customHeight="1" x14ac:dyDescent="0.2">
      <c r="B18" s="311">
        <v>7</v>
      </c>
      <c r="C18" s="325">
        <v>970</v>
      </c>
      <c r="D18" s="326">
        <v>730</v>
      </c>
      <c r="E18" s="327">
        <v>430</v>
      </c>
      <c r="F18" s="326">
        <v>370</v>
      </c>
      <c r="G18" s="326">
        <v>240</v>
      </c>
      <c r="H18" s="326">
        <v>140</v>
      </c>
      <c r="I18" s="327">
        <v>85</v>
      </c>
      <c r="J18" s="307"/>
      <c r="L18" s="311">
        <v>5</v>
      </c>
      <c r="M18" s="308">
        <v>5.6</v>
      </c>
      <c r="N18" s="308">
        <v>4</v>
      </c>
      <c r="O18" s="309">
        <v>2.9</v>
      </c>
      <c r="P18" s="309">
        <v>2.4</v>
      </c>
      <c r="Q18" s="309">
        <v>1.7</v>
      </c>
      <c r="R18" s="309">
        <v>1</v>
      </c>
      <c r="S18" s="309">
        <v>0.8</v>
      </c>
      <c r="T18" s="332">
        <v>0.7</v>
      </c>
      <c r="U18" s="332">
        <v>0.6</v>
      </c>
      <c r="V18" s="366"/>
      <c r="W18" s="358">
        <v>9</v>
      </c>
      <c r="X18" s="398">
        <f>'PILE-99'!I36</f>
        <v>14.55</v>
      </c>
      <c r="Y18" s="475" t="str">
        <f>'PILE-99'!G36</f>
        <v>-</v>
      </c>
      <c r="Z18" s="476"/>
      <c r="AA18" s="342">
        <f>IF(Y18="c¸t th«",LOOKUP(CEILING(X18,0.4),L10:L78,M10:M78),IF(Y18="c¸t mÞn",LOOKUP(CEILING(X18,0.4),L10:L78,N10:N78),IF(Y18="c¸t bôi",LOOKUP(CEILING(X18,0.4),L10:L78,O10:O78),0)))</f>
        <v>0</v>
      </c>
      <c r="AB18" s="342">
        <f>IF(Y18&lt;=0.2,LOOKUP(CEILING(X18,0.4),L10:L78,M10:M78),IF(Y18&lt;=0.3,LOOKUP(CEILING(X18,0.4),L10:L78,N10:N78),IF(Y18&lt;=0.4,LOOKUP(CEILING(X18,0.4),L10:L78,O10:O78),IF(Y18&lt;=0.5,LOOKUP(CEILING(X18,0.4),L10:L78,P10:P78),IF(Y18&lt;=0.6,LOOKUP(CEILING(X18,0.4),L10:L78,Q10:Q78),0)))))</f>
        <v>0</v>
      </c>
      <c r="AC18" s="344">
        <f>IF(AB18=0,IF(Y18&lt;=0.7,LOOKUP(CEILING(X18,0.4),L10:L78,R10:R78),IF(Y18&lt;=0.8,LOOKUP(CEILING(X18,0.4),L10:L78,S10:S78),IF(Y18&lt;=0.9,LOOKUP(CEILING(X18,0.4),L10:L78,T10:T78),IF(Y18&lt;=1,LOOKUP(CEILING(X18,0.4),L10:L78,U10:U78),0)))),0)</f>
        <v>0</v>
      </c>
      <c r="AD18" s="299">
        <f t="shared" si="3"/>
        <v>0</v>
      </c>
      <c r="AE18" s="354">
        <f t="shared" si="0"/>
        <v>0</v>
      </c>
      <c r="AF18" s="359">
        <v>9</v>
      </c>
      <c r="AG18" s="359">
        <v>0</v>
      </c>
    </row>
    <row r="19" spans="2:33" ht="15" customHeight="1" x14ac:dyDescent="0.2">
      <c r="B19" s="297">
        <f>(B18+B20)/2</f>
        <v>7.5</v>
      </c>
      <c r="C19" s="328">
        <f>((B18-B19)*C24-(B24-B19)*C18)/((B18-B19)-(B24-B19))</f>
        <v>983.33333333333337</v>
      </c>
      <c r="D19" s="328">
        <f t="shared" ref="D19:I19" si="11">((C18-C19)*D24-(C24-C19)*D18)/((C18-C19)-(C24-C19))</f>
        <v>736.66666666666674</v>
      </c>
      <c r="E19" s="372">
        <f t="shared" si="11"/>
        <v>441.6666666666668</v>
      </c>
      <c r="F19" s="328">
        <f t="shared" si="11"/>
        <v>375.00000000000006</v>
      </c>
      <c r="G19" s="328">
        <f t="shared" si="11"/>
        <v>243.33333333333337</v>
      </c>
      <c r="H19" s="328">
        <f t="shared" si="11"/>
        <v>141.66666666666669</v>
      </c>
      <c r="I19" s="372">
        <f t="shared" si="11"/>
        <v>85.833333333333343</v>
      </c>
      <c r="L19" s="297">
        <f>(L18+L20)/2</f>
        <v>5.5</v>
      </c>
      <c r="M19" s="120">
        <f>(M18+M20)/2</f>
        <v>5.6999999999999993</v>
      </c>
      <c r="N19" s="120">
        <f t="shared" ref="N19:U19" si="12">(N18+N20)/2</f>
        <v>4.0999999999999996</v>
      </c>
      <c r="O19" s="120">
        <f t="shared" si="12"/>
        <v>3</v>
      </c>
      <c r="P19" s="120">
        <f t="shared" si="12"/>
        <v>2.4500000000000002</v>
      </c>
      <c r="Q19" s="120">
        <f t="shared" si="12"/>
        <v>1.75</v>
      </c>
      <c r="R19" s="120">
        <f t="shared" si="12"/>
        <v>1</v>
      </c>
      <c r="S19" s="120">
        <f t="shared" si="12"/>
        <v>0.8</v>
      </c>
      <c r="T19" s="120">
        <f t="shared" si="12"/>
        <v>0.7</v>
      </c>
      <c r="U19" s="120">
        <f t="shared" si="12"/>
        <v>0.6</v>
      </c>
      <c r="V19" s="366"/>
      <c r="W19" s="358">
        <v>10</v>
      </c>
      <c r="X19" s="398">
        <f>'PILE-99'!I37</f>
        <v>14.55</v>
      </c>
      <c r="Y19" s="475" t="str">
        <f>'PILE-99'!G37</f>
        <v>-</v>
      </c>
      <c r="Z19" s="476"/>
      <c r="AA19" s="342">
        <f>IF(Y19="c¸t th«",LOOKUP(CEILING(X19,0.4),L10:L78,M10:M78),IF(Y19="c¸t mÞn",LOOKUP(CEILING(X19,0.4),L10:L78,N10:N78),IF(Y19="c¸t bôi",LOOKUP(CEILING(X19,0.4),L10:L78,O10:O78),0)))</f>
        <v>0</v>
      </c>
      <c r="AB19" s="342">
        <f>IF(Y19&lt;=0.2,LOOKUP(CEILING(X19,0.4),L10:L78,M10:M78),IF(Y19&lt;=0.3,LOOKUP(CEILING(X19,0.4),L10:L78,N10:N78),IF(Y19&lt;=0.4,LOOKUP(CEILING(X19,0.4),L10:L78,O10:O78),IF(Y19&lt;=0.5,LOOKUP(CEILING(X19,0.4),L10:L78,P10:P78),IF(Y19&lt;=0.6,LOOKUP(CEILING(X19,0.4),L10:L78,Q10:Q78),0)))))</f>
        <v>0</v>
      </c>
      <c r="AC19" s="344">
        <f>IF(AB19=0,IF(Y19&lt;=0.7,LOOKUP(CEILING(X19,0.4),L10:L78,R10:R78),IF(Y19&lt;=0.8,LOOKUP(CEILING(X19,0.4),L10:L78,S10:S78),IF(Y19&lt;=0.9,LOOKUP(CEILING(X19,0.4),L10:L78,T10:T78),IF(Y19&lt;=1,LOOKUP(CEILING(X19,0.4),L10:L78,U10:U78),0)))),0)</f>
        <v>0</v>
      </c>
      <c r="AD19" s="299">
        <f t="shared" si="3"/>
        <v>0</v>
      </c>
      <c r="AE19" s="354">
        <f t="shared" si="0"/>
        <v>0</v>
      </c>
      <c r="AF19" s="359">
        <v>10</v>
      </c>
      <c r="AG19" s="359">
        <v>0</v>
      </c>
    </row>
    <row r="20" spans="2:33" ht="15" customHeight="1" x14ac:dyDescent="0.2">
      <c r="B20" s="297">
        <v>8</v>
      </c>
      <c r="C20" s="328">
        <f>((B18-B20)*C24-(B24-B20)*C18)/((B18-B20)-(B24-B20))</f>
        <v>996.66666666666663</v>
      </c>
      <c r="D20" s="328">
        <f t="shared" ref="D20:I20" si="13">((C18-C20)*D24-(C24-C20)*D18)/((C18-C20)-(C24-C20))</f>
        <v>743.33333333333326</v>
      </c>
      <c r="E20" s="372">
        <f t="shared" si="13"/>
        <v>453.3333333333332</v>
      </c>
      <c r="F20" s="328">
        <f t="shared" si="13"/>
        <v>379.99999999999994</v>
      </c>
      <c r="G20" s="328">
        <f t="shared" si="13"/>
        <v>246.66666666666663</v>
      </c>
      <c r="H20" s="328">
        <f t="shared" si="13"/>
        <v>143.33333333333331</v>
      </c>
      <c r="I20" s="372">
        <f t="shared" si="13"/>
        <v>86.666666666666657</v>
      </c>
      <c r="L20" s="311">
        <v>6</v>
      </c>
      <c r="M20" s="308">
        <v>5.8</v>
      </c>
      <c r="N20" s="308">
        <v>4.2</v>
      </c>
      <c r="O20" s="309">
        <v>3.1</v>
      </c>
      <c r="P20" s="309">
        <v>2.5</v>
      </c>
      <c r="Q20" s="309">
        <v>1.8</v>
      </c>
      <c r="R20" s="309">
        <v>1</v>
      </c>
      <c r="S20" s="309">
        <v>0.8</v>
      </c>
      <c r="T20" s="332">
        <v>0.7</v>
      </c>
      <c r="U20" s="332">
        <v>0.6</v>
      </c>
      <c r="V20" s="366"/>
      <c r="W20" s="358">
        <v>11</v>
      </c>
      <c r="X20" s="398">
        <f>'PILE-99'!I38</f>
        <v>14.55</v>
      </c>
      <c r="Y20" s="475" t="str">
        <f>'PILE-99'!G38</f>
        <v>-</v>
      </c>
      <c r="Z20" s="476"/>
      <c r="AA20" s="342">
        <f>IF(Y20="c¸t th«",LOOKUP(CEILING(X20,0.4),L10:L78,M10:M78),IF(Y20="c¸t mÞn",LOOKUP(CEILING(X20,0.4),L10:L78,N10:N78),IF(Y20="c¸t bôi",LOOKUP(CEILING(X20,0.4),L10:L78,O10:O78),0)))</f>
        <v>0</v>
      </c>
      <c r="AB20" s="342">
        <f>IF(Y20&lt;=0.2,LOOKUP(CEILING(X20,0.4),L10:L78,M10:M78),IF(Y20&lt;=0.3,LOOKUP(CEILING(X20,0.4),L10:L78,N10:N78),IF(Y20&lt;=0.4,LOOKUP(CEILING(X20,0.4),L10:L78,O10:O78),IF(Y20&lt;=0.5,LOOKUP(CEILING(X20,0.4),L10:L78,P10:P78),IF(Y20&lt;=0.6,LOOKUP(CEILING(X20,0.4),L10:L78,Q10:Q78),0)))))</f>
        <v>0</v>
      </c>
      <c r="AC20" s="344">
        <f>IF(AB20=0,IF(Y20&lt;=0.7,LOOKUP(CEILING(X20,0.4),L10:L78,R10:R78),IF(Y20&lt;=0.8,LOOKUP(CEILING(X20,0.4),L10:L78,S10:S78),IF(Y20&lt;=0.9,LOOKUP(CEILING(X20,0.4),L10:L78,T10:T78),IF(Y20&lt;=1,LOOKUP(CEILING(X20,0.4),L10:L78,U10:U78),0)))),0)</f>
        <v>0</v>
      </c>
      <c r="AD20" s="299">
        <f t="shared" si="3"/>
        <v>0</v>
      </c>
      <c r="AE20" s="354">
        <f t="shared" si="0"/>
        <v>0</v>
      </c>
      <c r="AF20" s="359">
        <v>11</v>
      </c>
      <c r="AG20" s="359">
        <v>0</v>
      </c>
    </row>
    <row r="21" spans="2:33" ht="15" customHeight="1" thickBot="1" x14ac:dyDescent="0.25">
      <c r="B21" s="297">
        <f>(B20+B22)/2</f>
        <v>8.5</v>
      </c>
      <c r="C21" s="328">
        <f>((B18-B21)*C24-(B24-B21)*C18)/((B18-B21)-(B24-B21))</f>
        <v>1010</v>
      </c>
      <c r="D21" s="328">
        <f t="shared" ref="D21:I21" si="14">((C18-C21)*D24-(C24-C21)*D18)/((C18-C21)-(C24-C21))</f>
        <v>750</v>
      </c>
      <c r="E21" s="372">
        <f t="shared" si="14"/>
        <v>465</v>
      </c>
      <c r="F21" s="328">
        <f t="shared" si="14"/>
        <v>385</v>
      </c>
      <c r="G21" s="328">
        <f t="shared" si="14"/>
        <v>250</v>
      </c>
      <c r="H21" s="328">
        <f t="shared" si="14"/>
        <v>145</v>
      </c>
      <c r="I21" s="372">
        <f t="shared" si="14"/>
        <v>87.5</v>
      </c>
      <c r="L21" s="297">
        <f>(L20+L22)/2</f>
        <v>6.5</v>
      </c>
      <c r="M21" s="328">
        <f t="shared" ref="M21:R21" si="15">((L20-L21)*M24-(L24-L21)*M20)/((L20-L21)-(L24-L21))</f>
        <v>5.8999999999999995</v>
      </c>
      <c r="N21" s="328">
        <f t="shared" si="15"/>
        <v>4.25</v>
      </c>
      <c r="O21" s="328">
        <f t="shared" si="15"/>
        <v>3.15</v>
      </c>
      <c r="P21" s="328">
        <f t="shared" si="15"/>
        <v>2.5249999999999999</v>
      </c>
      <c r="Q21" s="328">
        <f t="shared" si="15"/>
        <v>1.8249999999999997</v>
      </c>
      <c r="R21" s="328">
        <f t="shared" si="15"/>
        <v>1</v>
      </c>
      <c r="S21" s="339">
        <v>0.8</v>
      </c>
      <c r="T21" s="339">
        <v>0.7</v>
      </c>
      <c r="U21" s="339">
        <v>0.6</v>
      </c>
      <c r="V21" s="367"/>
      <c r="W21" s="147">
        <v>12</v>
      </c>
      <c r="X21" s="399">
        <f>'PILE-99'!I39</f>
        <v>14.55</v>
      </c>
      <c r="Y21" s="477" t="str">
        <f>'PILE-99'!G39</f>
        <v>-</v>
      </c>
      <c r="Z21" s="478"/>
      <c r="AA21" s="343">
        <f>IF(Y21="c¸t th«",LOOKUP(CEILING(X21,0.4),L10:L78,M10:M78),IF(Y21="c¸t mÞn",LOOKUP(CEILING(X21,0.4),L10:L78,N10:N78),IF(Y21="c¸t bôi",LOOKUP(CEILING(X21,0.4),L10:L78,O10:O78),0)))</f>
        <v>0</v>
      </c>
      <c r="AB21" s="343">
        <f>IF(Y21&lt;=0.2,LOOKUP(CEILING(X21,0.4),L10:L78,M10:M78),IF(Y21&lt;=0.3,LOOKUP(CEILING(X21,0.4),L10:L78,N10:N78),IF(Y21&lt;=0.4,LOOKUP(CEILING(X21,0.4),L10:L78,O10:O78),IF(Y21&lt;=0.5,LOOKUP(CEILING(X21,0.4),L10:L78,P10:P78),IF(Y21&lt;=0.6,LOOKUP(CEILING(X21,0.4),L10:L78,Q10:Q78),0)))))</f>
        <v>0</v>
      </c>
      <c r="AC21" s="345">
        <f>IF(AB21=0,IF(Y21&lt;=0.7,LOOKUP(CEILING(X21,0.4),L10:L78,R10:R78),IF(Y21&lt;=0.8,LOOKUP(CEILING(X21,0.4),L10:L78,S10:S78),IF(Y21&lt;=0.9,LOOKUP(CEILING(X21,0.4),L10:L78,T10:T78),IF(Y21&lt;=1,LOOKUP(CEILING(X21,0.4),L10:L78,U10:U78),0)))),0)</f>
        <v>0</v>
      </c>
      <c r="AD21" s="300">
        <f t="shared" si="3"/>
        <v>0</v>
      </c>
      <c r="AE21" s="355">
        <f t="shared" si="0"/>
        <v>0</v>
      </c>
      <c r="AF21" s="360">
        <v>12</v>
      </c>
      <c r="AG21" s="360">
        <v>0</v>
      </c>
    </row>
    <row r="22" spans="2:33" ht="15" customHeight="1" thickTop="1" x14ac:dyDescent="0.2">
      <c r="B22" s="297">
        <v>9</v>
      </c>
      <c r="C22" s="328">
        <f>((B18-B22)*C24-(B24-B22)*C18)/((B18-B22)-(B24-B22))</f>
        <v>1023.3333333333334</v>
      </c>
      <c r="D22" s="328">
        <f t="shared" ref="D22:I22" si="16">((C18-C22)*D24-(C24-C22)*D18)/((C18-C22)-(C24-C22))</f>
        <v>756.66666666666663</v>
      </c>
      <c r="E22" s="372">
        <f t="shared" si="16"/>
        <v>476.66666666666663</v>
      </c>
      <c r="F22" s="328">
        <f t="shared" si="16"/>
        <v>389.99999999999994</v>
      </c>
      <c r="G22" s="328">
        <f t="shared" si="16"/>
        <v>253.33333333333331</v>
      </c>
      <c r="H22" s="328">
        <f t="shared" si="16"/>
        <v>146.66666666666666</v>
      </c>
      <c r="I22" s="372">
        <f t="shared" si="16"/>
        <v>88.333333333333329</v>
      </c>
      <c r="L22" s="297">
        <f>(L20+L24)/2</f>
        <v>7</v>
      </c>
      <c r="M22" s="328">
        <f t="shared" ref="M22:R22" si="17">((L20-L22)*M24-(L24-L22)*M20)/((L20-L22)-(L24-L22))</f>
        <v>6</v>
      </c>
      <c r="N22" s="328">
        <f t="shared" si="17"/>
        <v>4.3</v>
      </c>
      <c r="O22" s="328">
        <f t="shared" si="17"/>
        <v>3.1999999999999993</v>
      </c>
      <c r="P22" s="328">
        <f t="shared" si="17"/>
        <v>2.5500000000000003</v>
      </c>
      <c r="Q22" s="328">
        <f t="shared" si="17"/>
        <v>1.85</v>
      </c>
      <c r="R22" s="328">
        <f t="shared" si="17"/>
        <v>1</v>
      </c>
      <c r="S22" s="339">
        <v>0.8</v>
      </c>
      <c r="T22" s="339">
        <v>0.7</v>
      </c>
      <c r="U22" s="339">
        <v>0.6</v>
      </c>
      <c r="V22" s="367"/>
    </row>
    <row r="23" spans="2:33" ht="15" customHeight="1" x14ac:dyDescent="0.2">
      <c r="B23" s="297">
        <f>(B22+B24)/2</f>
        <v>9.5</v>
      </c>
      <c r="C23" s="328">
        <f>((B18-B23)*C24-(B24-B23)*C18)/((B18-B23)-(B24-B23))</f>
        <v>1036.6666666666667</v>
      </c>
      <c r="D23" s="328">
        <f t="shared" ref="D23:I23" si="18">((C18-C23)*D24-(C24-C23)*D18)/((C18-C23)-(C24-C23))</f>
        <v>763.33333333333337</v>
      </c>
      <c r="E23" s="372">
        <f t="shared" si="18"/>
        <v>488.33333333333337</v>
      </c>
      <c r="F23" s="328">
        <f t="shared" si="18"/>
        <v>395.00000000000006</v>
      </c>
      <c r="G23" s="328">
        <f t="shared" si="18"/>
        <v>256.66666666666669</v>
      </c>
      <c r="H23" s="328">
        <f t="shared" si="18"/>
        <v>148.33333333333334</v>
      </c>
      <c r="I23" s="372">
        <f t="shared" si="18"/>
        <v>89.166666666666671</v>
      </c>
      <c r="L23" s="297">
        <f>(L22+L24)/2</f>
        <v>7.5</v>
      </c>
      <c r="M23" s="328">
        <f t="shared" ref="M23:R23" si="19">((L20-L23)*M24-(L24-L23)*M20)/((L20-L23)-(L24-L23))</f>
        <v>6.1000000000000005</v>
      </c>
      <c r="N23" s="328">
        <f t="shared" si="19"/>
        <v>4.3500000000000005</v>
      </c>
      <c r="O23" s="328">
        <f t="shared" si="19"/>
        <v>3.25</v>
      </c>
      <c r="P23" s="328">
        <f t="shared" si="19"/>
        <v>2.5750000000000002</v>
      </c>
      <c r="Q23" s="328">
        <f t="shared" si="19"/>
        <v>1.875</v>
      </c>
      <c r="R23" s="328">
        <f t="shared" si="19"/>
        <v>1</v>
      </c>
      <c r="S23" s="339">
        <v>0.8</v>
      </c>
      <c r="T23" s="339">
        <v>0.7</v>
      </c>
      <c r="U23" s="339">
        <v>0.6</v>
      </c>
      <c r="V23" s="367"/>
      <c r="X23" s="281"/>
      <c r="Y23" s="281"/>
      <c r="Z23" s="281"/>
      <c r="AA23" s="303"/>
      <c r="AB23" s="304" t="s">
        <v>396</v>
      </c>
      <c r="AC23" s="298"/>
      <c r="AD23" s="302"/>
      <c r="AE23" s="281"/>
    </row>
    <row r="24" spans="2:33" ht="15" customHeight="1" thickBot="1" x14ac:dyDescent="0.25">
      <c r="B24" s="311">
        <v>10</v>
      </c>
      <c r="C24" s="325">
        <v>1050</v>
      </c>
      <c r="D24" s="326">
        <v>770</v>
      </c>
      <c r="E24" s="327">
        <v>500</v>
      </c>
      <c r="F24" s="326">
        <v>400</v>
      </c>
      <c r="G24" s="326">
        <v>260</v>
      </c>
      <c r="H24" s="326">
        <v>150</v>
      </c>
      <c r="I24" s="327">
        <v>90</v>
      </c>
      <c r="L24" s="311">
        <v>8</v>
      </c>
      <c r="M24" s="308">
        <v>6.2</v>
      </c>
      <c r="N24" s="308">
        <v>4.4000000000000004</v>
      </c>
      <c r="O24" s="309">
        <v>3.3</v>
      </c>
      <c r="P24" s="309">
        <v>2.6</v>
      </c>
      <c r="Q24" s="309">
        <v>1.9</v>
      </c>
      <c r="R24" s="309">
        <v>1</v>
      </c>
      <c r="S24" s="309">
        <v>0.8</v>
      </c>
      <c r="T24" s="332">
        <v>0.7</v>
      </c>
      <c r="U24" s="332">
        <v>0.6</v>
      </c>
      <c r="V24" s="366"/>
      <c r="X24" s="285" t="s">
        <v>407</v>
      </c>
      <c r="Y24" s="473" t="s">
        <v>377</v>
      </c>
      <c r="Z24" s="474"/>
      <c r="AA24" s="346" t="s">
        <v>378</v>
      </c>
      <c r="AB24" s="285" t="s">
        <v>393</v>
      </c>
      <c r="AC24" s="346" t="s">
        <v>394</v>
      </c>
      <c r="AD24" s="285" t="s">
        <v>400</v>
      </c>
      <c r="AE24" s="286" t="s">
        <v>397</v>
      </c>
      <c r="AF24" s="284" t="s">
        <v>401</v>
      </c>
      <c r="AG24" s="284" t="s">
        <v>398</v>
      </c>
    </row>
    <row r="25" spans="2:33" ht="15" customHeight="1" thickTop="1" x14ac:dyDescent="0.2">
      <c r="B25" s="297">
        <f>(B24+B26)/2</f>
        <v>10.5</v>
      </c>
      <c r="C25" s="328">
        <f>((B24-B25)*C34-(B34-B25)*C24)/((B24-B25)-(B34-B25))</f>
        <v>1062</v>
      </c>
      <c r="D25" s="328">
        <f t="shared" ref="D25:I25" si="20">((C24-C25)*D34-(C34-C25)*D24)/((C24-C25)-(C34-C25))</f>
        <v>775</v>
      </c>
      <c r="E25" s="372">
        <f t="shared" si="20"/>
        <v>506</v>
      </c>
      <c r="F25" s="328">
        <f t="shared" si="20"/>
        <v>404</v>
      </c>
      <c r="G25" s="328">
        <f t="shared" si="20"/>
        <v>263</v>
      </c>
      <c r="H25" s="328">
        <f t="shared" si="20"/>
        <v>151.5</v>
      </c>
      <c r="I25" s="372">
        <f t="shared" si="20"/>
        <v>91</v>
      </c>
      <c r="L25" s="297">
        <f>(L24+L26)/2</f>
        <v>8.5</v>
      </c>
      <c r="M25" s="328">
        <f>((L24-L25)*M28-(L28-L25)*M24)/((L24-L25)-(L28-L25))</f>
        <v>6.2750000000000004</v>
      </c>
      <c r="N25" s="328">
        <f>((M24-M25)*N28-(M28-M25)*N24)/((M24-M25)-(M28-M25))</f>
        <v>4.45</v>
      </c>
      <c r="O25" s="328">
        <f>((N24-N25)*O28-(N28-N25)*O24)/((N24-N25)-(N28-N25))</f>
        <v>3.3249999999999997</v>
      </c>
      <c r="P25" s="328">
        <f>((O24-O25)*P28-(O28-O25)*P24)/((O24-O25)-(O28-O25))</f>
        <v>2.625</v>
      </c>
      <c r="Q25" s="328">
        <f>((P24-P25)*Q28-(P28-P25)*Q24)/((P24-P25)-(P28-P25))</f>
        <v>1.8999999999999997</v>
      </c>
      <c r="R25" s="339">
        <v>1</v>
      </c>
      <c r="S25" s="339">
        <v>0.8</v>
      </c>
      <c r="T25" s="339">
        <v>0.7</v>
      </c>
      <c r="U25" s="339">
        <v>0.6</v>
      </c>
      <c r="V25" s="367"/>
      <c r="X25" s="400">
        <f>'PILE-99'!I41</f>
        <v>14.55</v>
      </c>
      <c r="Y25" s="471" t="str">
        <f>'PILE-99'!G41</f>
        <v>c¸t mÞn</v>
      </c>
      <c r="Z25" s="472"/>
      <c r="AA25" s="341">
        <f>IF(Y25="sái",LOOKUP(CEILING(X25,0.4),B10:B74,C10:C74),IF(Y25="c¸t th«",LOOKUP(CEILING(X25,0.4),B10:B74,D10:D74),IF(Y25="c¸t th« võa",LOOKUP(CEILING(X25,0.4),B10:B74,F10:F74),IF(Y25="c¸t mÞn",LOOKUP(CEILING(X25,0.4),B10:B74,G10:G74),IF(Y25="c¸t bôi",LOOKUP(CEILING(X25,0.4),B10:B74,H10:H74),0)))))</f>
        <v>287</v>
      </c>
      <c r="AB25" s="347">
        <f>IF(Y25&lt;=0,LOOKUP(CEILING(X25,0.4),B89:B153,C89:C153),IF(Y25&lt;=0.1,LOOKUP(CEILING(X25,0.4),B89:B153,D89:D153),IF(Y25&lt;=0.2,LOOKUP(CEILING(X25,0.4),B89:B153,E89:E153),IF(Y25&lt;=0.3,LOOKUP(CEILING(X25,0.4),B89:B153,F89:F153),0))))</f>
        <v>0</v>
      </c>
      <c r="AC25" s="348">
        <f>IF(AB25=0,IF(Y25&lt;=0.4,LOOKUP(CEILING(X25,0.4),B89:B153,G89:G153),IF(Y25&lt;=0.5,LOOKUP(CEILING(X25,0.4),B89:B153,H89:H153),IF(Y25&lt;=0.6,LOOKUP(CEILING(X25,0.4),B89:B153,I89:I153),0))),0)</f>
        <v>0</v>
      </c>
      <c r="AD25" s="301">
        <f>MAX(AB25,AC25)</f>
        <v>0</v>
      </c>
      <c r="AE25" s="356">
        <f>MAX(AD25,AA25)</f>
        <v>287</v>
      </c>
      <c r="AF25" s="360">
        <v>290</v>
      </c>
      <c r="AG25" s="362">
        <v>0</v>
      </c>
    </row>
    <row r="26" spans="2:33" ht="15" customHeight="1" x14ac:dyDescent="0.2">
      <c r="B26" s="297">
        <v>11</v>
      </c>
      <c r="C26" s="328">
        <f>((B24-B26)*C34-(B34-B26)*C24)/((B24-B26)-(B34-B26))</f>
        <v>1074</v>
      </c>
      <c r="D26" s="328">
        <f t="shared" ref="D26:I26" si="21">((C24-C26)*D34-(C34-C26)*D24)/((C24-C26)-(C34-C26))</f>
        <v>780</v>
      </c>
      <c r="E26" s="372">
        <f t="shared" si="21"/>
        <v>512</v>
      </c>
      <c r="F26" s="328">
        <f t="shared" si="21"/>
        <v>408</v>
      </c>
      <c r="G26" s="328">
        <f t="shared" si="21"/>
        <v>266</v>
      </c>
      <c r="H26" s="328">
        <f t="shared" si="21"/>
        <v>153</v>
      </c>
      <c r="I26" s="372">
        <f t="shared" si="21"/>
        <v>92</v>
      </c>
      <c r="J26" s="109"/>
      <c r="L26" s="297">
        <f>(L24+L28)/2</f>
        <v>9</v>
      </c>
      <c r="M26" s="328">
        <f>((L24-L26)*M28-(L28-L26)*M24)/((L24-L26)-(L28-L26))</f>
        <v>6.35</v>
      </c>
      <c r="N26" s="328">
        <f>((M24-M26)*N28-(M28-M26)*N24)/((M24-M26)-(M28-M26))</f>
        <v>4.5</v>
      </c>
      <c r="O26" s="328">
        <f>((N24-N26)*O28-(N28-N26)*O24)/((N24-N26)-(N28-N26))</f>
        <v>3.35</v>
      </c>
      <c r="P26" s="328">
        <f>((O24-O26)*P28-(O28-O26)*P24)/((O24-O26)-(O28-O26))</f>
        <v>2.65</v>
      </c>
      <c r="Q26" s="328">
        <f>((P24-P26)*Q28-(P28-P26)*Q24)/((P24-P26)-(P28-P26))</f>
        <v>1.9</v>
      </c>
      <c r="R26" s="339">
        <v>1</v>
      </c>
      <c r="S26" s="339">
        <v>0.8</v>
      </c>
      <c r="T26" s="339">
        <v>0.7</v>
      </c>
      <c r="U26" s="339">
        <v>0.6</v>
      </c>
      <c r="V26" s="367"/>
      <c r="X26" s="56"/>
      <c r="Y26" s="56"/>
      <c r="Z26" s="56"/>
      <c r="AA26" s="352"/>
      <c r="AB26" s="352"/>
      <c r="AC26" s="352"/>
    </row>
    <row r="27" spans="2:33" ht="15" customHeight="1" x14ac:dyDescent="0.2">
      <c r="B27" s="297">
        <f>(B26+B28)/2</f>
        <v>11.5</v>
      </c>
      <c r="C27" s="328">
        <f>((B24-B27)*C34-(B34-B27)*C24)/((B24-B27)-(B34-B27))</f>
        <v>1086</v>
      </c>
      <c r="D27" s="328">
        <f t="shared" ref="D27:I27" si="22">((C24-C27)*D34-(C34-C27)*D24)/((C24-C27)-(C34-C27))</f>
        <v>785</v>
      </c>
      <c r="E27" s="372">
        <f t="shared" si="22"/>
        <v>518</v>
      </c>
      <c r="F27" s="328">
        <f t="shared" si="22"/>
        <v>412</v>
      </c>
      <c r="G27" s="328">
        <f t="shared" si="22"/>
        <v>269</v>
      </c>
      <c r="H27" s="328">
        <f t="shared" si="22"/>
        <v>154.5</v>
      </c>
      <c r="I27" s="372">
        <f t="shared" si="22"/>
        <v>93</v>
      </c>
      <c r="J27" s="109"/>
      <c r="L27" s="297">
        <f>(L26+L28)/2</f>
        <v>9.5</v>
      </c>
      <c r="M27" s="328">
        <f>((L24-L27)*M28-(L28-L27)*M24)/((L24-L27)-(L28-L27))</f>
        <v>6.4249999999999998</v>
      </c>
      <c r="N27" s="328">
        <f>((M24-M27)*N28-(M28-M27)*N24)/((M24-M27)-(M28-M27))</f>
        <v>4.55</v>
      </c>
      <c r="O27" s="328">
        <f>((N24-N27)*O28-(N28-N27)*O24)/((N24-N27)-(N28-N27))</f>
        <v>3.3749999999999996</v>
      </c>
      <c r="P27" s="328">
        <f>((O24-O27)*P28-(O28-O27)*P24)/((O24-O27)-(O28-O27))</f>
        <v>2.6749999999999998</v>
      </c>
      <c r="Q27" s="328">
        <f>((P24-P27)*Q28-(P28-P27)*Q24)/((P24-P27)-(P28-P27))</f>
        <v>1.9</v>
      </c>
      <c r="R27" s="339">
        <v>1</v>
      </c>
      <c r="S27" s="339">
        <v>0.8</v>
      </c>
      <c r="T27" s="339">
        <v>0.7</v>
      </c>
      <c r="U27" s="339">
        <v>0.6</v>
      </c>
      <c r="V27" s="367"/>
      <c r="X27" s="56"/>
      <c r="Y27" s="56"/>
      <c r="Z27" s="56"/>
      <c r="AA27" s="352"/>
      <c r="AB27" s="352"/>
      <c r="AC27" s="352"/>
    </row>
    <row r="28" spans="2:33" ht="15" customHeight="1" x14ac:dyDescent="0.2">
      <c r="B28" s="297">
        <v>12</v>
      </c>
      <c r="C28" s="328">
        <f>((B24-B28)*C34-(B34-B28)*C24)/((B24-B28)-(B34-B28))</f>
        <v>1098</v>
      </c>
      <c r="D28" s="328">
        <f t="shared" ref="D28:I28" si="23">((C24-C28)*D34-(C34-C28)*D24)/((C24-C28)-(C34-C28))</f>
        <v>790</v>
      </c>
      <c r="E28" s="372">
        <f t="shared" si="23"/>
        <v>524</v>
      </c>
      <c r="F28" s="328">
        <f t="shared" si="23"/>
        <v>416</v>
      </c>
      <c r="G28" s="328">
        <f t="shared" si="23"/>
        <v>272</v>
      </c>
      <c r="H28" s="328">
        <f t="shared" si="23"/>
        <v>156</v>
      </c>
      <c r="I28" s="372">
        <f t="shared" si="23"/>
        <v>94</v>
      </c>
      <c r="J28" s="109"/>
      <c r="L28" s="311">
        <v>10</v>
      </c>
      <c r="M28" s="308">
        <v>6.5</v>
      </c>
      <c r="N28" s="308">
        <v>4.5999999999999996</v>
      </c>
      <c r="O28" s="309">
        <v>3.4</v>
      </c>
      <c r="P28" s="309">
        <v>2.7</v>
      </c>
      <c r="Q28" s="309">
        <v>1.9</v>
      </c>
      <c r="R28" s="309">
        <v>1</v>
      </c>
      <c r="S28" s="309">
        <v>0.8</v>
      </c>
      <c r="T28" s="332">
        <v>0.7</v>
      </c>
      <c r="U28" s="332">
        <v>0.6</v>
      </c>
      <c r="V28" s="366"/>
    </row>
    <row r="29" spans="2:33" ht="15" customHeight="1" x14ac:dyDescent="0.2">
      <c r="B29" s="297">
        <f>(B28+B30)/2</f>
        <v>12.5</v>
      </c>
      <c r="C29" s="328">
        <f>((B24-B29)*C34-(B34-B29)*C24)/((B24-B29)-(B34-B29))</f>
        <v>1110</v>
      </c>
      <c r="D29" s="328">
        <f t="shared" ref="D29:I29" si="24">((C24-C29)*D34-(C34-C29)*D24)/((C24-C29)-(C34-C29))</f>
        <v>795</v>
      </c>
      <c r="E29" s="372">
        <f t="shared" si="24"/>
        <v>530</v>
      </c>
      <c r="F29" s="328">
        <f t="shared" si="24"/>
        <v>420</v>
      </c>
      <c r="G29" s="328">
        <f t="shared" si="24"/>
        <v>275</v>
      </c>
      <c r="H29" s="328">
        <f t="shared" si="24"/>
        <v>157.5</v>
      </c>
      <c r="I29" s="372">
        <f t="shared" si="24"/>
        <v>95</v>
      </c>
      <c r="J29" s="109"/>
      <c r="L29" s="297">
        <f>(L28+L30)/2</f>
        <v>10.5</v>
      </c>
      <c r="M29" s="328">
        <f>((L28-L29)*M38-(L38-L29)*M28)/((L28-L29)-(L38-L29))</f>
        <v>6.57</v>
      </c>
      <c r="N29" s="328">
        <f t="shared" ref="N29:S29" si="25">((M28-M29)*N38-(M38-M29)*N28)/((M28-M29)-(M38-M29))</f>
        <v>4.6500000000000004</v>
      </c>
      <c r="O29" s="328">
        <f t="shared" si="25"/>
        <v>3.4400000000000004</v>
      </c>
      <c r="P29" s="328">
        <f t="shared" si="25"/>
        <v>2.7100000000000004</v>
      </c>
      <c r="Q29" s="328">
        <f t="shared" si="25"/>
        <v>1.9100000000000001</v>
      </c>
      <c r="R29" s="328">
        <f t="shared" si="25"/>
        <v>1.0100000000000002</v>
      </c>
      <c r="S29" s="328">
        <f t="shared" si="25"/>
        <v>0.8</v>
      </c>
      <c r="T29" s="339">
        <v>0.7</v>
      </c>
      <c r="U29" s="339">
        <v>0.6</v>
      </c>
      <c r="V29" s="367"/>
    </row>
    <row r="30" spans="2:33" ht="15" customHeight="1" x14ac:dyDescent="0.2">
      <c r="B30" s="297">
        <v>13</v>
      </c>
      <c r="C30" s="328">
        <f>((B24-B30)*C34-(B34-B30)*C24)/((B24-B30)-(B34-B30))</f>
        <v>1122</v>
      </c>
      <c r="D30" s="328">
        <f t="shared" ref="D30:I30" si="26">((C24-C30)*D34-(C34-C30)*D24)/((C24-C30)-(C34-C30))</f>
        <v>800</v>
      </c>
      <c r="E30" s="372">
        <f t="shared" si="26"/>
        <v>536</v>
      </c>
      <c r="F30" s="328">
        <f t="shared" si="26"/>
        <v>424</v>
      </c>
      <c r="G30" s="328">
        <f t="shared" si="26"/>
        <v>278</v>
      </c>
      <c r="H30" s="328">
        <f t="shared" si="26"/>
        <v>159</v>
      </c>
      <c r="I30" s="372">
        <f t="shared" si="26"/>
        <v>96</v>
      </c>
      <c r="J30" s="109"/>
      <c r="L30" s="297">
        <v>11</v>
      </c>
      <c r="M30" s="328">
        <f>((L28-L30)*M38-(L38-L30)*M28)/((L28-L30)-(L38-L30))</f>
        <v>6.6400000000000006</v>
      </c>
      <c r="N30" s="328">
        <f t="shared" ref="N30:S30" si="27">((M28-M30)*N38-(M38-M30)*N28)/((M28-M30)-(M38-M30))</f>
        <v>4.7</v>
      </c>
      <c r="O30" s="328">
        <f t="shared" si="27"/>
        <v>3.4800000000000004</v>
      </c>
      <c r="P30" s="328">
        <f t="shared" si="27"/>
        <v>2.72</v>
      </c>
      <c r="Q30" s="328">
        <f t="shared" si="27"/>
        <v>1.92</v>
      </c>
      <c r="R30" s="328">
        <f t="shared" si="27"/>
        <v>1.02</v>
      </c>
      <c r="S30" s="328">
        <f t="shared" si="27"/>
        <v>0.8</v>
      </c>
      <c r="T30" s="339">
        <v>0.7</v>
      </c>
      <c r="U30" s="339">
        <v>0.6</v>
      </c>
      <c r="V30" s="367"/>
    </row>
    <row r="31" spans="2:33" ht="15" customHeight="1" x14ac:dyDescent="0.2">
      <c r="B31" s="297">
        <f>(B30+B32)/2</f>
        <v>13.5</v>
      </c>
      <c r="C31" s="328">
        <f>((B24-B31)*C34-(B34-B31)*C24)/((B24-B31)-(B34-B31))</f>
        <v>1134</v>
      </c>
      <c r="D31" s="328">
        <f t="shared" ref="D31:I31" si="28">((C24-C31)*D34-(C34-C31)*D24)/((C24-C31)-(C34-C31))</f>
        <v>805</v>
      </c>
      <c r="E31" s="372">
        <f t="shared" si="28"/>
        <v>542</v>
      </c>
      <c r="F31" s="328">
        <f t="shared" si="28"/>
        <v>428</v>
      </c>
      <c r="G31" s="328">
        <f t="shared" si="28"/>
        <v>281</v>
      </c>
      <c r="H31" s="328">
        <f t="shared" si="28"/>
        <v>160.5</v>
      </c>
      <c r="I31" s="372">
        <f t="shared" si="28"/>
        <v>97</v>
      </c>
      <c r="J31" s="109"/>
      <c r="L31" s="297">
        <f>(L30+L32)/2</f>
        <v>11.5</v>
      </c>
      <c r="M31" s="328">
        <f>((L28-L31)*M38-(L38-L31)*M28)/((L28-L31)-(L38-L31))</f>
        <v>6.7099999999999991</v>
      </c>
      <c r="N31" s="328">
        <f t="shared" ref="N31:S31" si="29">((M28-M31)*N38-(M38-M31)*N28)/((M28-M31)-(M38-M31))</f>
        <v>4.7499999999999991</v>
      </c>
      <c r="O31" s="328">
        <f t="shared" si="29"/>
        <v>3.5199999999999996</v>
      </c>
      <c r="P31" s="328">
        <f t="shared" si="29"/>
        <v>2.7299999999999995</v>
      </c>
      <c r="Q31" s="328">
        <f t="shared" si="29"/>
        <v>1.9299999999999995</v>
      </c>
      <c r="R31" s="328">
        <f t="shared" si="29"/>
        <v>1.0299999999999996</v>
      </c>
      <c r="S31" s="328">
        <f t="shared" si="29"/>
        <v>0.8</v>
      </c>
      <c r="T31" s="339">
        <v>0.7</v>
      </c>
      <c r="U31" s="339">
        <v>0.6</v>
      </c>
      <c r="V31" s="367"/>
    </row>
    <row r="32" spans="2:33" ht="15" customHeight="1" x14ac:dyDescent="0.2">
      <c r="B32" s="297">
        <v>14</v>
      </c>
      <c r="C32" s="328">
        <f>((B24-B32)*C34-(B34-B32)*C24)/((B24-B32)-(B34-B32))</f>
        <v>1146</v>
      </c>
      <c r="D32" s="328">
        <f t="shared" ref="D32:I32" si="30">((C24-C32)*D34-(C34-C32)*D24)/((C24-C32)-(C34-C32))</f>
        <v>810</v>
      </c>
      <c r="E32" s="372">
        <f t="shared" si="30"/>
        <v>548</v>
      </c>
      <c r="F32" s="328">
        <f t="shared" si="30"/>
        <v>432</v>
      </c>
      <c r="G32" s="328">
        <f t="shared" si="30"/>
        <v>284</v>
      </c>
      <c r="H32" s="328">
        <f t="shared" si="30"/>
        <v>162</v>
      </c>
      <c r="I32" s="372">
        <f t="shared" si="30"/>
        <v>98</v>
      </c>
      <c r="J32" s="109"/>
      <c r="L32" s="297">
        <v>12</v>
      </c>
      <c r="M32" s="328">
        <f>((L28-L32)*M38-(L38-L32)*M28)/((L28-L32)-(L38-L32))</f>
        <v>6.7799999999999994</v>
      </c>
      <c r="N32" s="328">
        <f t="shared" ref="N32:S32" si="31">((M28-M32)*N38-(M38-M32)*N28)/((M28-M32)-(M38-M32))</f>
        <v>4.7999999999999989</v>
      </c>
      <c r="O32" s="328">
        <f t="shared" si="31"/>
        <v>3.5599999999999996</v>
      </c>
      <c r="P32" s="328">
        <f t="shared" si="31"/>
        <v>2.7399999999999998</v>
      </c>
      <c r="Q32" s="328">
        <f t="shared" si="31"/>
        <v>1.9399999999999997</v>
      </c>
      <c r="R32" s="328">
        <f t="shared" si="31"/>
        <v>1.0399999999999998</v>
      </c>
      <c r="S32" s="328">
        <f t="shared" si="31"/>
        <v>0.8</v>
      </c>
      <c r="T32" s="339">
        <v>0.7</v>
      </c>
      <c r="U32" s="339">
        <v>0.6</v>
      </c>
      <c r="V32" s="367"/>
    </row>
    <row r="33" spans="2:29" ht="15" customHeight="1" x14ac:dyDescent="0.2">
      <c r="B33" s="297">
        <f>(B32+B34)/2</f>
        <v>14.5</v>
      </c>
      <c r="C33" s="328">
        <f>((B24-B33)*C34-(B34-B33)*C24)/((B24-B33)-(B34-B33))</f>
        <v>1158</v>
      </c>
      <c r="D33" s="328">
        <f t="shared" ref="D33:I33" si="32">((C24-C33)*D34-(C34-C33)*D24)/((C24-C33)-(C34-C33))</f>
        <v>815</v>
      </c>
      <c r="E33" s="372">
        <f t="shared" si="32"/>
        <v>554</v>
      </c>
      <c r="F33" s="328">
        <f t="shared" si="32"/>
        <v>436</v>
      </c>
      <c r="G33" s="328">
        <f t="shared" si="32"/>
        <v>287</v>
      </c>
      <c r="H33" s="328">
        <f t="shared" si="32"/>
        <v>163.5</v>
      </c>
      <c r="I33" s="372">
        <f t="shared" si="32"/>
        <v>99</v>
      </c>
      <c r="J33" s="276"/>
      <c r="L33" s="297">
        <f>(L32+L34)/2</f>
        <v>12.5</v>
      </c>
      <c r="M33" s="328">
        <f>((L28-L33)*M38-(L38-L33)*M28)/((L28-L33)-(L38-L33))</f>
        <v>6.85</v>
      </c>
      <c r="N33" s="328">
        <f t="shared" ref="N33:S33" si="33">((M28-M33)*N38-(M38-M33)*N28)/((M28-M33)-(M38-M33))</f>
        <v>4.8499999999999996</v>
      </c>
      <c r="O33" s="328">
        <f t="shared" si="33"/>
        <v>3.5999999999999996</v>
      </c>
      <c r="P33" s="328">
        <f t="shared" si="33"/>
        <v>2.7499999999999996</v>
      </c>
      <c r="Q33" s="328">
        <f t="shared" si="33"/>
        <v>1.9499999999999995</v>
      </c>
      <c r="R33" s="328">
        <f t="shared" si="33"/>
        <v>1.0499999999999996</v>
      </c>
      <c r="S33" s="328">
        <f t="shared" si="33"/>
        <v>0.8</v>
      </c>
      <c r="T33" s="339">
        <v>0.7</v>
      </c>
      <c r="U33" s="339">
        <v>0.6</v>
      </c>
      <c r="V33" s="367"/>
    </row>
    <row r="34" spans="2:29" ht="15" customHeight="1" x14ac:dyDescent="0.2">
      <c r="B34" s="311">
        <v>15</v>
      </c>
      <c r="C34" s="325">
        <v>1170</v>
      </c>
      <c r="D34" s="326">
        <v>820</v>
      </c>
      <c r="E34" s="327">
        <v>560</v>
      </c>
      <c r="F34" s="326">
        <v>440</v>
      </c>
      <c r="G34" s="326">
        <v>290</v>
      </c>
      <c r="H34" s="326">
        <v>165</v>
      </c>
      <c r="I34" s="327">
        <v>100</v>
      </c>
      <c r="J34" s="109"/>
      <c r="L34" s="297">
        <v>13</v>
      </c>
      <c r="M34" s="328">
        <f>((L28-L34)*M38-(L38-L34)*M28)/((L28-L34)-(L38-L34))</f>
        <v>6.92</v>
      </c>
      <c r="N34" s="328">
        <f t="shared" ref="N34:S34" si="34">((M28-M34)*N38-(M38-M34)*N28)/((M28-M34)-(M38-M34))</f>
        <v>4.8999999999999995</v>
      </c>
      <c r="O34" s="328">
        <f t="shared" si="34"/>
        <v>3.6399999999999997</v>
      </c>
      <c r="P34" s="328">
        <f t="shared" si="34"/>
        <v>2.76</v>
      </c>
      <c r="Q34" s="328">
        <f t="shared" si="34"/>
        <v>1.9599999999999997</v>
      </c>
      <c r="R34" s="328">
        <f t="shared" si="34"/>
        <v>1.0599999999999998</v>
      </c>
      <c r="S34" s="328">
        <f t="shared" si="34"/>
        <v>0.8</v>
      </c>
      <c r="T34" s="339">
        <v>0.7</v>
      </c>
      <c r="U34" s="339">
        <v>0.6</v>
      </c>
      <c r="V34" s="367"/>
    </row>
    <row r="35" spans="2:29" ht="15" customHeight="1" x14ac:dyDescent="0.2">
      <c r="B35" s="297">
        <f>(B34+B36)/2</f>
        <v>15.5</v>
      </c>
      <c r="C35" s="328">
        <f>((B34-B35)*C44-(B44-B35)*C34)/((B34-B35)-(B44-B35))</f>
        <v>1179</v>
      </c>
      <c r="D35" s="328">
        <f t="shared" ref="D35:I35" si="35">((C34-C35)*D44-(C44-C35)*D34)/((C34-C35)-(C44-C35))</f>
        <v>823</v>
      </c>
      <c r="E35" s="372">
        <f t="shared" si="35"/>
        <v>566</v>
      </c>
      <c r="F35" s="328">
        <f t="shared" si="35"/>
        <v>444</v>
      </c>
      <c r="G35" s="328">
        <f t="shared" si="35"/>
        <v>293</v>
      </c>
      <c r="H35" s="328">
        <f t="shared" si="35"/>
        <v>166.5</v>
      </c>
      <c r="I35" s="372">
        <f t="shared" si="35"/>
        <v>101</v>
      </c>
      <c r="J35" s="108"/>
      <c r="L35" s="297">
        <f>(L34+L36)/2</f>
        <v>13.5</v>
      </c>
      <c r="M35" s="328">
        <f>((L28-L35)*M38-(L38-L35)*M28)/((L28-L35)-(L38-L35))</f>
        <v>6.99</v>
      </c>
      <c r="N35" s="328">
        <f t="shared" ref="N35:S35" si="36">((M28-M35)*N38-(M38-M35)*N28)/((M28-M35)-(M38-M35))</f>
        <v>4.95</v>
      </c>
      <c r="O35" s="328">
        <f t="shared" si="36"/>
        <v>3.6800000000000006</v>
      </c>
      <c r="P35" s="328">
        <f t="shared" si="36"/>
        <v>2.7700000000000005</v>
      </c>
      <c r="Q35" s="328">
        <f t="shared" si="36"/>
        <v>1.9700000000000004</v>
      </c>
      <c r="R35" s="328">
        <f t="shared" si="36"/>
        <v>1.0700000000000005</v>
      </c>
      <c r="S35" s="328">
        <f t="shared" si="36"/>
        <v>0.8</v>
      </c>
      <c r="T35" s="339">
        <v>0.7</v>
      </c>
      <c r="U35" s="339">
        <v>0.6</v>
      </c>
      <c r="V35" s="367"/>
      <c r="X35" s="56"/>
      <c r="Y35" s="56"/>
      <c r="Z35" s="56"/>
      <c r="AA35" s="352"/>
      <c r="AB35" s="352"/>
      <c r="AC35" s="352"/>
    </row>
    <row r="36" spans="2:29" ht="15" customHeight="1" x14ac:dyDescent="0.2">
      <c r="B36" s="297">
        <v>16</v>
      </c>
      <c r="C36" s="328">
        <f>((B34-B36)*C44-(B44-B36)*C34)/((B34-B36)-(B44-B36))</f>
        <v>1188</v>
      </c>
      <c r="D36" s="328">
        <f t="shared" ref="D36:I36" si="37">((C34-C36)*D44-(C44-C36)*D34)/((C34-C36)-(C44-C36))</f>
        <v>826</v>
      </c>
      <c r="E36" s="372">
        <f t="shared" si="37"/>
        <v>572</v>
      </c>
      <c r="F36" s="328">
        <f t="shared" si="37"/>
        <v>448</v>
      </c>
      <c r="G36" s="328">
        <f t="shared" si="37"/>
        <v>296</v>
      </c>
      <c r="H36" s="328">
        <f t="shared" si="37"/>
        <v>168</v>
      </c>
      <c r="I36" s="372">
        <f t="shared" si="37"/>
        <v>102</v>
      </c>
      <c r="J36" s="108"/>
      <c r="L36" s="297">
        <v>14</v>
      </c>
      <c r="M36" s="328">
        <f>((L28-L36)*M38-(L38-L36)*M28)/((L28-L36)-(L38-L36))</f>
        <v>7.06</v>
      </c>
      <c r="N36" s="328">
        <f t="shared" ref="N36:S36" si="38">((M28-M36)*N38-(M38-M36)*N28)/((M28-M36)-(M38-M36))</f>
        <v>4.9999999999999991</v>
      </c>
      <c r="O36" s="328">
        <f t="shared" si="38"/>
        <v>3.7199999999999993</v>
      </c>
      <c r="P36" s="328">
        <f t="shared" si="38"/>
        <v>2.78</v>
      </c>
      <c r="Q36" s="328">
        <f t="shared" si="38"/>
        <v>1.98</v>
      </c>
      <c r="R36" s="328">
        <f t="shared" si="38"/>
        <v>1.08</v>
      </c>
      <c r="S36" s="328">
        <f t="shared" si="38"/>
        <v>0.8</v>
      </c>
      <c r="T36" s="339">
        <v>0.7</v>
      </c>
      <c r="U36" s="339">
        <v>0.6</v>
      </c>
      <c r="V36" s="367"/>
      <c r="X36" s="56"/>
      <c r="Y36" s="56"/>
      <c r="Z36" s="56"/>
      <c r="AA36" s="352"/>
      <c r="AB36" s="352"/>
      <c r="AC36" s="352"/>
    </row>
    <row r="37" spans="2:29" ht="15" customHeight="1" x14ac:dyDescent="0.2">
      <c r="B37" s="297">
        <f>(B36+B38)/2</f>
        <v>16.5</v>
      </c>
      <c r="C37" s="328">
        <f>((B34-B37)*C44-(B44-B37)*C34)/((B34-B37)-(B44-B37))</f>
        <v>1197</v>
      </c>
      <c r="D37" s="328">
        <f t="shared" ref="D37:I37" si="39">((C34-C37)*D44-(C44-C37)*D34)/((C34-C37)-(C44-C37))</f>
        <v>829</v>
      </c>
      <c r="E37" s="372">
        <f t="shared" si="39"/>
        <v>578</v>
      </c>
      <c r="F37" s="328">
        <f t="shared" si="39"/>
        <v>452</v>
      </c>
      <c r="G37" s="328">
        <f t="shared" si="39"/>
        <v>299</v>
      </c>
      <c r="H37" s="328">
        <f t="shared" si="39"/>
        <v>169.5</v>
      </c>
      <c r="I37" s="372">
        <f t="shared" si="39"/>
        <v>103</v>
      </c>
      <c r="J37" s="108"/>
      <c r="L37" s="297">
        <f>(L36+L38)/2</f>
        <v>14.5</v>
      </c>
      <c r="M37" s="328">
        <f>((L28-L37)*M38-(L38-L37)*M28)/((L28-L37)-(L38-L37))</f>
        <v>7.13</v>
      </c>
      <c r="N37" s="328">
        <f t="shared" ref="N37:S37" si="40">((M28-M37)*N38-(M38-M37)*N28)/((M28-M37)-(M38-M37))</f>
        <v>5.05</v>
      </c>
      <c r="O37" s="328">
        <f t="shared" si="40"/>
        <v>3.7600000000000002</v>
      </c>
      <c r="P37" s="328">
        <f t="shared" si="40"/>
        <v>2.7900000000000005</v>
      </c>
      <c r="Q37" s="328">
        <f t="shared" si="40"/>
        <v>1.9900000000000004</v>
      </c>
      <c r="R37" s="328">
        <f t="shared" si="40"/>
        <v>1.0900000000000005</v>
      </c>
      <c r="S37" s="328">
        <f t="shared" si="40"/>
        <v>0.8</v>
      </c>
      <c r="T37" s="339">
        <v>0.7</v>
      </c>
      <c r="U37" s="339">
        <v>0.6</v>
      </c>
      <c r="V37" s="367"/>
      <c r="X37" s="56"/>
      <c r="Y37" s="56"/>
      <c r="Z37" s="56"/>
      <c r="AA37" s="352"/>
      <c r="AB37" s="352"/>
      <c r="AC37" s="352"/>
    </row>
    <row r="38" spans="2:29" ht="15" customHeight="1" x14ac:dyDescent="0.2">
      <c r="B38" s="297">
        <v>17</v>
      </c>
      <c r="C38" s="328">
        <f>((B34-B38)*C44-(B44-B38)*C34)/((B34-B38)-(B44-B38))</f>
        <v>1206</v>
      </c>
      <c r="D38" s="328">
        <f t="shared" ref="D38:I38" si="41">((C34-C38)*D44-(C44-C38)*D34)/((C34-C38)-(C44-C38))</f>
        <v>832</v>
      </c>
      <c r="E38" s="372">
        <f t="shared" si="41"/>
        <v>584</v>
      </c>
      <c r="F38" s="328">
        <f t="shared" si="41"/>
        <v>456</v>
      </c>
      <c r="G38" s="328">
        <f t="shared" si="41"/>
        <v>302</v>
      </c>
      <c r="H38" s="328">
        <f t="shared" si="41"/>
        <v>171</v>
      </c>
      <c r="I38" s="372">
        <f t="shared" si="41"/>
        <v>104</v>
      </c>
      <c r="J38" s="108"/>
      <c r="L38" s="311">
        <v>15</v>
      </c>
      <c r="M38" s="308">
        <v>7.2</v>
      </c>
      <c r="N38" s="308">
        <v>5.0999999999999996</v>
      </c>
      <c r="O38" s="309">
        <v>3.8</v>
      </c>
      <c r="P38" s="309">
        <v>2.8</v>
      </c>
      <c r="Q38" s="309">
        <v>2</v>
      </c>
      <c r="R38" s="309">
        <v>1.1000000000000001</v>
      </c>
      <c r="S38" s="309">
        <v>0.8</v>
      </c>
      <c r="T38" s="332">
        <v>0.7</v>
      </c>
      <c r="U38" s="332">
        <v>0.6</v>
      </c>
      <c r="V38" s="366"/>
    </row>
    <row r="39" spans="2:29" ht="15" customHeight="1" x14ac:dyDescent="0.2">
      <c r="B39" s="297">
        <f>(B38+B40)/2</f>
        <v>17.5</v>
      </c>
      <c r="C39" s="328">
        <f>((B34-B39)*C44-(B44-B39)*C34)/((B34-B39)-(B44-B39))</f>
        <v>1215</v>
      </c>
      <c r="D39" s="328">
        <f t="shared" ref="D39:I39" si="42">((C34-C39)*D44-(C44-C39)*D34)/((C34-C39)-(C44-C39))</f>
        <v>835</v>
      </c>
      <c r="E39" s="372">
        <f t="shared" si="42"/>
        <v>590</v>
      </c>
      <c r="F39" s="328">
        <f t="shared" si="42"/>
        <v>460</v>
      </c>
      <c r="G39" s="328">
        <f t="shared" si="42"/>
        <v>305</v>
      </c>
      <c r="H39" s="328">
        <f t="shared" si="42"/>
        <v>172.5</v>
      </c>
      <c r="I39" s="372">
        <f t="shared" si="42"/>
        <v>105</v>
      </c>
      <c r="J39" s="108"/>
      <c r="L39" s="297">
        <f>(L38+L40)/2</f>
        <v>15.5</v>
      </c>
      <c r="M39" s="328">
        <f>((L38-L39)*M48-(L48-L39)*M38)/((L38-L39)-(L48-L39))</f>
        <v>7.2700000000000005</v>
      </c>
      <c r="N39" s="328">
        <f>((M38-M39)*N48-(M48-M39)*N38)/((M38-M39)-(M48-M39))</f>
        <v>5.15</v>
      </c>
      <c r="O39" s="328">
        <f>((N38-N39)*O48-(N48-N39)*O38)/((N38-N39)-(N48-N39))</f>
        <v>3.8300000000000005</v>
      </c>
      <c r="P39" s="328">
        <f>((O38-O39)*P48-(O48-O39)*P38)/((O38-O39)-(O48-O39))</f>
        <v>2.8200000000000003</v>
      </c>
      <c r="Q39" s="328">
        <f>((P38-P39)*Q48-(P48-P39)*Q38)/((P38-P39)-(P48-P39))</f>
        <v>2</v>
      </c>
      <c r="R39" s="339">
        <v>1.1100000000000001</v>
      </c>
      <c r="S39" s="339">
        <v>0.8</v>
      </c>
      <c r="T39" s="339">
        <v>0.7</v>
      </c>
      <c r="U39" s="339">
        <v>0.6</v>
      </c>
      <c r="V39" s="367"/>
    </row>
    <row r="40" spans="2:29" ht="15" customHeight="1" x14ac:dyDescent="0.2">
      <c r="B40" s="297">
        <v>18</v>
      </c>
      <c r="C40" s="328">
        <f>((B34-B40)*C44-(B44-B40)*C34)/((B34-B40)-(B44-B40))</f>
        <v>1224</v>
      </c>
      <c r="D40" s="328">
        <f t="shared" ref="D40:I40" si="43">((C34-C40)*D44-(C44-C40)*D34)/((C34-C40)-(C44-C40))</f>
        <v>838</v>
      </c>
      <c r="E40" s="372">
        <f t="shared" si="43"/>
        <v>596</v>
      </c>
      <c r="F40" s="328">
        <f t="shared" si="43"/>
        <v>464</v>
      </c>
      <c r="G40" s="328">
        <f t="shared" si="43"/>
        <v>308</v>
      </c>
      <c r="H40" s="328">
        <f t="shared" si="43"/>
        <v>174</v>
      </c>
      <c r="I40" s="372">
        <f t="shared" si="43"/>
        <v>106</v>
      </c>
      <c r="J40" s="108"/>
      <c r="L40" s="297">
        <v>16</v>
      </c>
      <c r="M40" s="328">
        <f>((L38-L40)*M48-(L48-L40)*M38)/((L38-L40)-(L48-L40))</f>
        <v>7.3400000000000007</v>
      </c>
      <c r="N40" s="328">
        <f>((M38-M40)*N48-(M48-M40)*N38)/((M38-M40)-(M48-M40))</f>
        <v>5.1999999999999993</v>
      </c>
      <c r="O40" s="328">
        <f>((N38-N40)*O48-(N48-N40)*O38)/((N38-N40)-(N48-N40))</f>
        <v>3.86</v>
      </c>
      <c r="P40" s="328">
        <f>((O38-O40)*P48-(O48-O40)*P38)/((O38-O40)-(O48-O40))</f>
        <v>2.84</v>
      </c>
      <c r="Q40" s="328">
        <f>((P38-P40)*Q48-(P48-P40)*Q38)/((P38-P40)-(P48-P40))</f>
        <v>2</v>
      </c>
      <c r="R40" s="339">
        <v>1.1200000000000001</v>
      </c>
      <c r="S40" s="339">
        <v>0.8</v>
      </c>
      <c r="T40" s="339">
        <v>0.7</v>
      </c>
      <c r="U40" s="339">
        <v>0.6</v>
      </c>
      <c r="V40" s="367"/>
    </row>
    <row r="41" spans="2:29" ht="15" customHeight="1" x14ac:dyDescent="0.2">
      <c r="B41" s="297">
        <f>(B40+B42)/2</f>
        <v>18.5</v>
      </c>
      <c r="C41" s="328">
        <f>((B34-B41)*C44-(B44-B41)*C34)/((B34-B41)-(B44-B41))</f>
        <v>1233</v>
      </c>
      <c r="D41" s="328">
        <f t="shared" ref="D41:I41" si="44">((C34-C41)*D44-(C44-C41)*D34)/((C34-C41)-(C44-C41))</f>
        <v>841</v>
      </c>
      <c r="E41" s="372">
        <f t="shared" si="44"/>
        <v>602</v>
      </c>
      <c r="F41" s="328">
        <f t="shared" si="44"/>
        <v>468</v>
      </c>
      <c r="G41" s="328">
        <f t="shared" si="44"/>
        <v>311</v>
      </c>
      <c r="H41" s="328">
        <f t="shared" si="44"/>
        <v>175.5</v>
      </c>
      <c r="I41" s="372">
        <f t="shared" si="44"/>
        <v>107</v>
      </c>
      <c r="J41" s="108"/>
      <c r="L41" s="297">
        <f>(L40+L42)/2</f>
        <v>16.5</v>
      </c>
      <c r="M41" s="328">
        <f>((L38-L41)*M48-(L48-L41)*M38)/((L38-L41)-(L48-L41))</f>
        <v>7.4099999999999993</v>
      </c>
      <c r="N41" s="328">
        <f>((M38-M41)*N48-(M48-M41)*N38)/((M38-M41)-(M48-M41))</f>
        <v>5.2499999999999991</v>
      </c>
      <c r="O41" s="328">
        <f>((N38-N41)*O48-(N48-N41)*O38)/((N38-N41)-(N48-N41))</f>
        <v>3.8899999999999997</v>
      </c>
      <c r="P41" s="328">
        <f>((O38-O41)*P48-(O48-O41)*P38)/((O38-O41)-(O48-O41))</f>
        <v>2.86</v>
      </c>
      <c r="Q41" s="328">
        <f>((P38-P41)*Q48-(P48-P41)*Q38)/((P38-P41)-(P48-P41))</f>
        <v>2</v>
      </c>
      <c r="R41" s="339">
        <v>1.1299999999999999</v>
      </c>
      <c r="S41" s="339">
        <v>0.8</v>
      </c>
      <c r="T41" s="339">
        <v>0.7</v>
      </c>
      <c r="U41" s="339">
        <v>0.6</v>
      </c>
      <c r="V41" s="367"/>
    </row>
    <row r="42" spans="2:29" ht="15" customHeight="1" x14ac:dyDescent="0.2">
      <c r="B42" s="297">
        <v>19</v>
      </c>
      <c r="C42" s="328">
        <f>((B34-B42)*C44-(B44-B42)*C34)/((B34-B42)-(B44-B42))</f>
        <v>1242</v>
      </c>
      <c r="D42" s="328">
        <f t="shared" ref="D42:I42" si="45">((C34-C42)*D44-(C44-C42)*D34)/((C34-C42)-(C44-C42))</f>
        <v>844</v>
      </c>
      <c r="E42" s="372">
        <f t="shared" si="45"/>
        <v>608</v>
      </c>
      <c r="F42" s="328">
        <f t="shared" si="45"/>
        <v>472</v>
      </c>
      <c r="G42" s="328">
        <f t="shared" si="45"/>
        <v>314</v>
      </c>
      <c r="H42" s="328">
        <f t="shared" si="45"/>
        <v>177</v>
      </c>
      <c r="I42" s="372">
        <f t="shared" si="45"/>
        <v>108</v>
      </c>
      <c r="J42" s="108"/>
      <c r="L42" s="297">
        <v>17</v>
      </c>
      <c r="M42" s="328">
        <f>((L38-L42)*M48-(L48-L42)*M38)/((L38-L42)-(L48-L42))</f>
        <v>7.4800000000000013</v>
      </c>
      <c r="N42" s="328">
        <f>((M38-M42)*N48-(M48-M42)*N38)/((M38-M42)-(M48-M42))</f>
        <v>5.3000000000000007</v>
      </c>
      <c r="O42" s="328">
        <f>((N38-N42)*O48-(N48-N42)*O38)/((N38-N42)-(N48-N42))</f>
        <v>3.9200000000000004</v>
      </c>
      <c r="P42" s="328">
        <f>((O38-O42)*P48-(O48-O42)*P38)/((O38-O42)-(O48-O42))</f>
        <v>2.8800000000000003</v>
      </c>
      <c r="Q42" s="328">
        <f>((P38-P42)*Q48-(P48-P42)*Q38)/((P38-P42)-(P48-P42))</f>
        <v>2</v>
      </c>
      <c r="R42" s="339">
        <v>1.1399999999999999</v>
      </c>
      <c r="S42" s="339">
        <v>0.8</v>
      </c>
      <c r="T42" s="339">
        <v>0.7</v>
      </c>
      <c r="U42" s="339">
        <v>0.6</v>
      </c>
      <c r="V42" s="367"/>
    </row>
    <row r="43" spans="2:29" ht="15" customHeight="1" x14ac:dyDescent="0.2">
      <c r="B43" s="297">
        <f>(B42+B44)/2</f>
        <v>19.5</v>
      </c>
      <c r="C43" s="328">
        <f>((B34-B43)*C44-(B44-B43)*C34)/((B34-B43)-(B44-B43))</f>
        <v>1251</v>
      </c>
      <c r="D43" s="328">
        <f t="shared" ref="D43:I43" si="46">((C34-C43)*D44-(C44-C43)*D34)/((C34-C43)-(C44-C43))</f>
        <v>847</v>
      </c>
      <c r="E43" s="372">
        <f t="shared" si="46"/>
        <v>614</v>
      </c>
      <c r="F43" s="328">
        <f t="shared" si="46"/>
        <v>476</v>
      </c>
      <c r="G43" s="328">
        <f t="shared" si="46"/>
        <v>317</v>
      </c>
      <c r="H43" s="328">
        <f t="shared" si="46"/>
        <v>178.5</v>
      </c>
      <c r="I43" s="372">
        <f t="shared" si="46"/>
        <v>109</v>
      </c>
      <c r="J43" s="108"/>
      <c r="L43" s="297">
        <f>(L42+L44)/2</f>
        <v>17.5</v>
      </c>
      <c r="M43" s="328">
        <f>((L38-L43)*M48-(L48-L43)*M38)/((L38-L43)-(L48-L43))</f>
        <v>7.55</v>
      </c>
      <c r="N43" s="328">
        <f>((M38-M43)*N48-(M48-M43)*N38)/((M38-M43)-(M48-M43))</f>
        <v>5.35</v>
      </c>
      <c r="O43" s="328">
        <f>((N38-N43)*O48-(N48-N43)*O38)/((N38-N43)-(N48-N43))</f>
        <v>3.9499999999999997</v>
      </c>
      <c r="P43" s="328">
        <f>((O38-O43)*P48-(O48-O43)*P38)/((O38-O43)-(O48-O43))</f>
        <v>2.9</v>
      </c>
      <c r="Q43" s="328">
        <f>((P38-P43)*Q48-(P48-P43)*Q38)/((P38-P43)-(P48-P43))</f>
        <v>2</v>
      </c>
      <c r="R43" s="339">
        <v>1.1499999999999999</v>
      </c>
      <c r="S43" s="339">
        <v>0.8</v>
      </c>
      <c r="T43" s="339">
        <v>0.7</v>
      </c>
      <c r="U43" s="339">
        <v>0.6</v>
      </c>
      <c r="V43" s="367"/>
    </row>
    <row r="44" spans="2:29" ht="15" customHeight="1" x14ac:dyDescent="0.2">
      <c r="B44" s="311">
        <v>20</v>
      </c>
      <c r="C44" s="325">
        <v>1260</v>
      </c>
      <c r="D44" s="326">
        <v>850</v>
      </c>
      <c r="E44" s="327">
        <v>620</v>
      </c>
      <c r="F44" s="326">
        <v>480</v>
      </c>
      <c r="G44" s="326">
        <v>320</v>
      </c>
      <c r="H44" s="326">
        <v>180</v>
      </c>
      <c r="I44" s="327">
        <v>110</v>
      </c>
      <c r="L44" s="297">
        <v>18</v>
      </c>
      <c r="M44" s="328">
        <f>((L38-L44)*M48-(L48-L44)*M38)/((L38-L44)-(L48-L44))</f>
        <v>7.62</v>
      </c>
      <c r="N44" s="328">
        <f>((M38-M44)*N48-(M48-M44)*N38)/((M38-M44)-(M48-M44))</f>
        <v>5.3999999999999995</v>
      </c>
      <c r="O44" s="328">
        <f>((N38-N44)*O48-(N48-N44)*O38)/((N38-N44)-(N48-N44))</f>
        <v>3.9799999999999995</v>
      </c>
      <c r="P44" s="328">
        <f>((O38-O44)*P48-(O48-O44)*P38)/((O38-O44)-(O48-O44))</f>
        <v>2.92</v>
      </c>
      <c r="Q44" s="328">
        <f>((P38-P44)*Q48-(P48-P44)*Q38)/((P38-P44)-(P48-P44))</f>
        <v>2</v>
      </c>
      <c r="R44" s="339">
        <v>1.1599999999999999</v>
      </c>
      <c r="S44" s="339">
        <v>0.8</v>
      </c>
      <c r="T44" s="339">
        <v>0.7</v>
      </c>
      <c r="U44" s="339">
        <v>0.6</v>
      </c>
      <c r="V44" s="367"/>
    </row>
    <row r="45" spans="2:29" ht="15" customHeight="1" x14ac:dyDescent="0.2">
      <c r="B45" s="297">
        <f>(B44+B46)/2</f>
        <v>20.5</v>
      </c>
      <c r="C45" s="328">
        <f>((B44-B45)*C54-(B54-B45)*C44)/((B44-B45)-(B54-B45))</f>
        <v>1268</v>
      </c>
      <c r="D45" s="328">
        <f t="shared" ref="D45:I45" si="47">((C44-C45)*D54-(C54-C45)*D44)/((C44-C45)-(C54-C45))</f>
        <v>855</v>
      </c>
      <c r="E45" s="372">
        <f t="shared" si="47"/>
        <v>626</v>
      </c>
      <c r="F45" s="328">
        <f t="shared" si="47"/>
        <v>484</v>
      </c>
      <c r="G45" s="328">
        <f t="shared" si="47"/>
        <v>323</v>
      </c>
      <c r="H45" s="328">
        <f t="shared" si="47"/>
        <v>181.5</v>
      </c>
      <c r="I45" s="372">
        <f t="shared" si="47"/>
        <v>111</v>
      </c>
      <c r="L45" s="297">
        <f>(L44+L46)/2</f>
        <v>18.5</v>
      </c>
      <c r="M45" s="328">
        <f>((L38-L45)*M48-(L48-L45)*M38)/((L38-L45)-(L48-L45))</f>
        <v>7.69</v>
      </c>
      <c r="N45" s="328">
        <f>((M38-M45)*N48-(M48-M45)*N38)/((M38-M45)-(M48-M45))</f>
        <v>5.45</v>
      </c>
      <c r="O45" s="328">
        <f>((N38-N45)*O48-(N48-N45)*O38)/((N38-N45)-(N48-N45))</f>
        <v>4.01</v>
      </c>
      <c r="P45" s="328">
        <f>((O38-O45)*P48-(O48-O45)*P38)/((O38-O45)-(O48-O45))</f>
        <v>2.94</v>
      </c>
      <c r="Q45" s="328">
        <f>((P38-P45)*Q48-(P48-P45)*Q38)/((P38-P45)-(P48-P45))</f>
        <v>2</v>
      </c>
      <c r="R45" s="339">
        <v>1.17</v>
      </c>
      <c r="S45" s="339">
        <v>0.8</v>
      </c>
      <c r="T45" s="339">
        <v>0.7</v>
      </c>
      <c r="U45" s="339">
        <v>0.6</v>
      </c>
      <c r="V45" s="367"/>
    </row>
    <row r="46" spans="2:29" ht="15" customHeight="1" x14ac:dyDescent="0.2">
      <c r="B46" s="297">
        <v>21</v>
      </c>
      <c r="C46" s="328">
        <f>((B44-B46)*C54-(B54-B46)*C44)/((B44-B46)-(B54-B46))</f>
        <v>1276</v>
      </c>
      <c r="D46" s="328">
        <f t="shared" ref="D46:I46" si="48">((C44-C46)*D54-(C54-C46)*D44)/((C44-C46)-(C54-C46))</f>
        <v>860</v>
      </c>
      <c r="E46" s="372">
        <f t="shared" si="48"/>
        <v>632</v>
      </c>
      <c r="F46" s="328">
        <f t="shared" si="48"/>
        <v>488</v>
      </c>
      <c r="G46" s="328">
        <f t="shared" si="48"/>
        <v>326</v>
      </c>
      <c r="H46" s="328">
        <f t="shared" si="48"/>
        <v>183</v>
      </c>
      <c r="I46" s="372">
        <f t="shared" si="48"/>
        <v>112</v>
      </c>
      <c r="L46" s="297">
        <v>19</v>
      </c>
      <c r="M46" s="328">
        <f>((L38-L46)*M48-(L48-L46)*M38)/((L38-L46)-(L48-L46))</f>
        <v>7.7600000000000007</v>
      </c>
      <c r="N46" s="328">
        <f>((M38-M46)*N48-(M48-M46)*N38)/((M38-M46)-(M48-M46))</f>
        <v>5.5</v>
      </c>
      <c r="O46" s="328">
        <f>((N38-N46)*O48-(N48-N46)*O38)/((N38-N46)-(N48-N46))</f>
        <v>4.04</v>
      </c>
      <c r="P46" s="328">
        <f>((O38-O46)*P48-(O48-O46)*P38)/((O38-O46)-(O48-O46))</f>
        <v>2.9600000000000004</v>
      </c>
      <c r="Q46" s="328">
        <f>((P38-P46)*Q48-(P48-P46)*Q38)/((P38-P46)-(P48-P46))</f>
        <v>2</v>
      </c>
      <c r="R46" s="339">
        <v>1.18</v>
      </c>
      <c r="S46" s="339">
        <v>0.8</v>
      </c>
      <c r="T46" s="339">
        <v>0.7</v>
      </c>
      <c r="U46" s="339">
        <v>0.6</v>
      </c>
      <c r="V46" s="367"/>
    </row>
    <row r="47" spans="2:29" ht="15" customHeight="1" x14ac:dyDescent="0.2">
      <c r="B47" s="297">
        <f>(B46+B48)/2</f>
        <v>21.5</v>
      </c>
      <c r="C47" s="328">
        <f>((B44-B47)*C54-(B54-B47)*C44)/((B44-B47)-(B54-B47))</f>
        <v>1284</v>
      </c>
      <c r="D47" s="328">
        <f t="shared" ref="D47:I47" si="49">((C44-C47)*D54-(C54-C47)*D44)/((C44-C47)-(C54-C47))</f>
        <v>865</v>
      </c>
      <c r="E47" s="372">
        <f t="shared" si="49"/>
        <v>638</v>
      </c>
      <c r="F47" s="328">
        <f t="shared" si="49"/>
        <v>492</v>
      </c>
      <c r="G47" s="328">
        <f t="shared" si="49"/>
        <v>329</v>
      </c>
      <c r="H47" s="328">
        <f t="shared" si="49"/>
        <v>184.5</v>
      </c>
      <c r="I47" s="372">
        <f t="shared" si="49"/>
        <v>113</v>
      </c>
      <c r="L47" s="297">
        <f>(L46+L48)/2</f>
        <v>19.5</v>
      </c>
      <c r="M47" s="328">
        <f>((L38-L47)*M48-(L48-L47)*M38)/((L38-L47)-(L48-L47))</f>
        <v>7.830000000000001</v>
      </c>
      <c r="N47" s="328">
        <f>((M38-M47)*N48-(M48-M47)*N38)/((M38-M47)-(M48-M47))</f>
        <v>5.55</v>
      </c>
      <c r="O47" s="328">
        <f>((N38-N47)*O48-(N48-N47)*O38)/((N38-N47)-(N48-N47))</f>
        <v>4.07</v>
      </c>
      <c r="P47" s="328">
        <f>((O38-O47)*P48-(O48-O47)*P38)/((O38-O47)-(O48-O47))</f>
        <v>2.9800000000000004</v>
      </c>
      <c r="Q47" s="328">
        <f>((P38-P47)*Q48-(P48-P47)*Q38)/((P38-P47)-(P48-P47))</f>
        <v>2</v>
      </c>
      <c r="R47" s="339">
        <v>1.19</v>
      </c>
      <c r="S47" s="339">
        <v>0.8</v>
      </c>
      <c r="T47" s="339">
        <v>0.7</v>
      </c>
      <c r="U47" s="339">
        <v>0.6</v>
      </c>
      <c r="V47" s="367"/>
    </row>
    <row r="48" spans="2:29" ht="15" customHeight="1" x14ac:dyDescent="0.2">
      <c r="B48" s="297">
        <v>22</v>
      </c>
      <c r="C48" s="328">
        <f>((B44-B48)*C54-(B54-B48)*C44)/((B44-B48)-(B54-B48))</f>
        <v>1292</v>
      </c>
      <c r="D48" s="328">
        <f t="shared" ref="D48:I48" si="50">((C44-C48)*D54-(C54-C48)*D44)/((C44-C48)-(C54-C48))</f>
        <v>870</v>
      </c>
      <c r="E48" s="372">
        <f t="shared" si="50"/>
        <v>644</v>
      </c>
      <c r="F48" s="328">
        <f t="shared" si="50"/>
        <v>496</v>
      </c>
      <c r="G48" s="328">
        <f t="shared" si="50"/>
        <v>332</v>
      </c>
      <c r="H48" s="328">
        <f t="shared" si="50"/>
        <v>186</v>
      </c>
      <c r="I48" s="372">
        <f t="shared" si="50"/>
        <v>114</v>
      </c>
      <c r="L48" s="311">
        <v>20</v>
      </c>
      <c r="M48" s="308">
        <v>7.9</v>
      </c>
      <c r="N48" s="308">
        <v>5.6</v>
      </c>
      <c r="O48" s="309">
        <v>4.0999999999999996</v>
      </c>
      <c r="P48" s="309">
        <v>3</v>
      </c>
      <c r="Q48" s="309">
        <v>2</v>
      </c>
      <c r="R48" s="309">
        <v>1.2</v>
      </c>
      <c r="S48" s="309">
        <v>0.8</v>
      </c>
      <c r="T48" s="332">
        <v>0.7</v>
      </c>
      <c r="U48" s="332">
        <v>0.6</v>
      </c>
      <c r="V48" s="366"/>
    </row>
    <row r="49" spans="2:22" ht="15" customHeight="1" x14ac:dyDescent="0.2">
      <c r="B49" s="297">
        <f>(B48+B50)/2</f>
        <v>22.5</v>
      </c>
      <c r="C49" s="328">
        <f>((B44-B49)*C54-(B54-B49)*C44)/((B44-B49)-(B54-B49))</f>
        <v>1300</v>
      </c>
      <c r="D49" s="328">
        <f t="shared" ref="D49:I49" si="51">((C44-C49)*D54-(C54-C49)*D44)/((C44-C49)-(C54-C49))</f>
        <v>875</v>
      </c>
      <c r="E49" s="372">
        <f t="shared" si="51"/>
        <v>650</v>
      </c>
      <c r="F49" s="328">
        <f t="shared" si="51"/>
        <v>500</v>
      </c>
      <c r="G49" s="328">
        <f t="shared" si="51"/>
        <v>335</v>
      </c>
      <c r="H49" s="328">
        <f t="shared" si="51"/>
        <v>187.5</v>
      </c>
      <c r="I49" s="372">
        <f t="shared" si="51"/>
        <v>115</v>
      </c>
      <c r="L49" s="297">
        <f>(L48+L50)/2</f>
        <v>20.5</v>
      </c>
      <c r="M49" s="328">
        <f>((L48-L49)*M58-(L58-L49)*M48)/((L48-L49)-(L58-L49))</f>
        <v>7.9700000000000006</v>
      </c>
      <c r="N49" s="328">
        <f>((M48-M49)*N58-(M58-M49)*N48)/((M48-M49)-(M58-M49))</f>
        <v>5.65</v>
      </c>
      <c r="O49" s="328">
        <f>((N48-N49)*O58-(N58-N49)*O48)/((N48-N49)-(N58-N49))</f>
        <v>4.13</v>
      </c>
      <c r="P49" s="328">
        <f>((O48-O49)*P58-(O58-O49)*P48)/((O48-O49)-(O58-O49))</f>
        <v>3.02</v>
      </c>
      <c r="Q49" s="328">
        <f>((P48-P49)*Q58-(P58-P49)*Q48)/((P48-P49)-(P58-P49))</f>
        <v>2</v>
      </c>
      <c r="R49" s="339">
        <v>1.2</v>
      </c>
      <c r="S49" s="339">
        <v>0.8</v>
      </c>
      <c r="T49" s="339">
        <v>0.7</v>
      </c>
      <c r="U49" s="339">
        <v>0.6</v>
      </c>
      <c r="V49" s="367"/>
    </row>
    <row r="50" spans="2:22" ht="15" customHeight="1" x14ac:dyDescent="0.2">
      <c r="B50" s="297">
        <v>23</v>
      </c>
      <c r="C50" s="328">
        <f>((B44-B50)*C54-(B54-B50)*C44)/((B44-B50)-(B54-B50))</f>
        <v>1308</v>
      </c>
      <c r="D50" s="328">
        <f t="shared" ref="D50:I50" si="52">((C44-C50)*D54-(C54-C50)*D44)/((C44-C50)-(C54-C50))</f>
        <v>880</v>
      </c>
      <c r="E50" s="372">
        <f t="shared" si="52"/>
        <v>656</v>
      </c>
      <c r="F50" s="328">
        <f t="shared" si="52"/>
        <v>504</v>
      </c>
      <c r="G50" s="328">
        <f t="shared" si="52"/>
        <v>338</v>
      </c>
      <c r="H50" s="328">
        <f t="shared" si="52"/>
        <v>189</v>
      </c>
      <c r="I50" s="372">
        <f t="shared" si="52"/>
        <v>116</v>
      </c>
      <c r="L50" s="297">
        <v>21</v>
      </c>
      <c r="M50" s="328">
        <f>((L48-L50)*M58-(L58-L50)*M48)/((L48-L50)-(L58-L50))</f>
        <v>8.0400000000000009</v>
      </c>
      <c r="N50" s="328">
        <f>((M48-M50)*N58-(M58-M50)*N48)/((M48-M50)-(M58-M50))</f>
        <v>5.7</v>
      </c>
      <c r="O50" s="328">
        <f>((N48-N50)*O58-(N58-N50)*O48)/((N48-N50)-(N58-N50))</f>
        <v>4.16</v>
      </c>
      <c r="P50" s="328">
        <f>((O48-O50)*P58-(O58-O50)*P48)/((O48-O50)-(O58-O50))</f>
        <v>3.0400000000000005</v>
      </c>
      <c r="Q50" s="328">
        <f>((P48-P50)*Q58-(P58-P50)*Q48)/((P48-P50)-(P58-P50))</f>
        <v>2</v>
      </c>
      <c r="R50" s="339">
        <v>1.2</v>
      </c>
      <c r="S50" s="339">
        <v>0.8</v>
      </c>
      <c r="T50" s="339">
        <v>0.7</v>
      </c>
      <c r="U50" s="339">
        <v>0.6</v>
      </c>
      <c r="V50" s="367"/>
    </row>
    <row r="51" spans="2:22" ht="15" customHeight="1" x14ac:dyDescent="0.2">
      <c r="B51" s="297">
        <f>(B50+B52)/2</f>
        <v>23.5</v>
      </c>
      <c r="C51" s="328">
        <f>((B44-B51)*C54-(B54-B51)*C44)/((B44-B51)-(B54-B51))</f>
        <v>1316</v>
      </c>
      <c r="D51" s="328">
        <f t="shared" ref="D51:I51" si="53">((C44-C51)*D54-(C54-C51)*D44)/((C44-C51)-(C54-C51))</f>
        <v>885</v>
      </c>
      <c r="E51" s="372">
        <f t="shared" si="53"/>
        <v>662</v>
      </c>
      <c r="F51" s="328">
        <f t="shared" si="53"/>
        <v>508</v>
      </c>
      <c r="G51" s="328">
        <f t="shared" si="53"/>
        <v>341</v>
      </c>
      <c r="H51" s="328">
        <f t="shared" si="53"/>
        <v>190.5</v>
      </c>
      <c r="I51" s="372">
        <f t="shared" si="53"/>
        <v>117</v>
      </c>
      <c r="L51" s="297">
        <f>(L50+L52)/2</f>
        <v>21.5</v>
      </c>
      <c r="M51" s="328">
        <f>((L48-L51)*M58-(L58-L51)*M48)/((L48-L51)-(L58-L51))</f>
        <v>8.11</v>
      </c>
      <c r="N51" s="328">
        <f>((M48-M51)*N58-(M58-M51)*N48)/((M48-M51)-(M58-M51))</f>
        <v>5.7499999999999991</v>
      </c>
      <c r="O51" s="328">
        <f>((N48-N51)*O58-(N58-N51)*O48)/((N48-N51)-(N58-N51))</f>
        <v>4.1899999999999995</v>
      </c>
      <c r="P51" s="328">
        <f>((O48-O51)*P58-(O58-O51)*P48)/((O48-O51)-(O58-O51))</f>
        <v>3.06</v>
      </c>
      <c r="Q51" s="328">
        <f>((P48-P51)*Q58-(P58-P51)*Q48)/((P48-P51)-(P58-P51))</f>
        <v>2</v>
      </c>
      <c r="R51" s="339">
        <v>1.2</v>
      </c>
      <c r="S51" s="339">
        <v>0.8</v>
      </c>
      <c r="T51" s="339">
        <v>0.7</v>
      </c>
      <c r="U51" s="339">
        <v>0.6</v>
      </c>
      <c r="V51" s="367"/>
    </row>
    <row r="52" spans="2:22" ht="15" customHeight="1" x14ac:dyDescent="0.2">
      <c r="B52" s="297">
        <v>24</v>
      </c>
      <c r="C52" s="328">
        <f>((B44-B52)*C54-(B54-B52)*C44)/((B44-B52)-(B54-B52))</f>
        <v>1324</v>
      </c>
      <c r="D52" s="328">
        <f t="shared" ref="D52:I52" si="54">((C44-C52)*D54-(C54-C52)*D44)/((C44-C52)-(C54-C52))</f>
        <v>890</v>
      </c>
      <c r="E52" s="372">
        <f t="shared" si="54"/>
        <v>668</v>
      </c>
      <c r="F52" s="328">
        <f t="shared" si="54"/>
        <v>512</v>
      </c>
      <c r="G52" s="328">
        <f t="shared" si="54"/>
        <v>344</v>
      </c>
      <c r="H52" s="328">
        <f t="shared" si="54"/>
        <v>192</v>
      </c>
      <c r="I52" s="372">
        <f t="shared" si="54"/>
        <v>118</v>
      </c>
      <c r="L52" s="297">
        <v>22</v>
      </c>
      <c r="M52" s="328">
        <f>((L48-L52)*M58-(L58-L52)*M48)/((L48-L52)-(L58-L52))</f>
        <v>8.1800000000000015</v>
      </c>
      <c r="N52" s="328">
        <f>((M48-M52)*N58-(M58-M52)*N48)/((M48-M52)-(M58-M52))</f>
        <v>5.8000000000000016</v>
      </c>
      <c r="O52" s="328">
        <f>((N48-N52)*O58-(N58-N52)*O48)/((N48-N52)-(N58-N52))</f>
        <v>4.2200000000000015</v>
      </c>
      <c r="P52" s="328">
        <f>((O48-O52)*P58-(O58-O52)*P48)/((O48-O52)-(O58-O52))</f>
        <v>3.0800000000000014</v>
      </c>
      <c r="Q52" s="328">
        <f>((P48-P52)*Q58-(P58-P52)*Q48)/((P48-P52)-(P58-P52))</f>
        <v>2</v>
      </c>
      <c r="R52" s="339">
        <v>1.2</v>
      </c>
      <c r="S52" s="339">
        <v>0.8</v>
      </c>
      <c r="T52" s="339">
        <v>0.7</v>
      </c>
      <c r="U52" s="339">
        <v>0.6</v>
      </c>
      <c r="V52" s="367"/>
    </row>
    <row r="53" spans="2:22" ht="15" customHeight="1" x14ac:dyDescent="0.2">
      <c r="B53" s="297">
        <f>(B52+B54)/2</f>
        <v>24.5</v>
      </c>
      <c r="C53" s="328">
        <f>((B44-B53)*C54-(B54-B53)*C44)/((B44-B53)-(B54-B53))</f>
        <v>1332</v>
      </c>
      <c r="D53" s="328">
        <f t="shared" ref="D53:I53" si="55">((C44-C53)*D54-(C54-C53)*D44)/((C44-C53)-(C54-C53))</f>
        <v>895</v>
      </c>
      <c r="E53" s="372">
        <f t="shared" si="55"/>
        <v>674</v>
      </c>
      <c r="F53" s="328">
        <f t="shared" si="55"/>
        <v>516</v>
      </c>
      <c r="G53" s="328">
        <f t="shared" si="55"/>
        <v>347</v>
      </c>
      <c r="H53" s="328">
        <f t="shared" si="55"/>
        <v>193.5</v>
      </c>
      <c r="I53" s="372">
        <f t="shared" si="55"/>
        <v>119</v>
      </c>
      <c r="L53" s="297">
        <f>(L52+L54)/2</f>
        <v>22.5</v>
      </c>
      <c r="M53" s="328">
        <f>((L48-L53)*M58-(L58-L53)*M48)/((L48-L53)-(L58-L53))</f>
        <v>8.25</v>
      </c>
      <c r="N53" s="328">
        <f>((M48-M53)*N58-(M58-M53)*N48)/((M48-M53)-(M58-M53))</f>
        <v>5.85</v>
      </c>
      <c r="O53" s="328">
        <f>((N48-N53)*O58-(N58-N53)*O48)/((N48-N53)-(N58-N53))</f>
        <v>4.25</v>
      </c>
      <c r="P53" s="328">
        <f>((O48-O53)*P58-(O58-O53)*P48)/((O48-O53)-(O58-O53))</f>
        <v>3.0999999999999996</v>
      </c>
      <c r="Q53" s="328">
        <f>((P48-P53)*Q58-(P58-P53)*Q48)/((P48-P53)-(P58-P53))</f>
        <v>2</v>
      </c>
      <c r="R53" s="339">
        <v>1.2</v>
      </c>
      <c r="S53" s="339">
        <v>0.8</v>
      </c>
      <c r="T53" s="339">
        <v>0.7</v>
      </c>
      <c r="U53" s="339">
        <v>0.6</v>
      </c>
      <c r="V53" s="367"/>
    </row>
    <row r="54" spans="2:22" ht="15" customHeight="1" x14ac:dyDescent="0.2">
      <c r="B54" s="311">
        <v>25</v>
      </c>
      <c r="C54" s="325">
        <v>1340</v>
      </c>
      <c r="D54" s="326">
        <v>900</v>
      </c>
      <c r="E54" s="327">
        <v>680</v>
      </c>
      <c r="F54" s="326">
        <v>520</v>
      </c>
      <c r="G54" s="326">
        <v>350</v>
      </c>
      <c r="H54" s="326">
        <v>195</v>
      </c>
      <c r="I54" s="327">
        <v>120</v>
      </c>
      <c r="L54" s="297">
        <v>23</v>
      </c>
      <c r="M54" s="328">
        <f>((L48-L54)*M58-(L58-L54)*M48)/((L48-L54)-(L58-L54))</f>
        <v>8.3199999999999985</v>
      </c>
      <c r="N54" s="328">
        <f>((M48-M54)*N58-(M58-M54)*N48)/((M48-M54)-(M58-M54))</f>
        <v>5.8999999999999995</v>
      </c>
      <c r="O54" s="328">
        <f>((N48-N54)*O58-(N58-N54)*O48)/((N48-N54)-(N58-N54))</f>
        <v>4.28</v>
      </c>
      <c r="P54" s="328">
        <f>((O48-O54)*P58-(O58-O54)*P48)/((O48-O54)-(O58-O54))</f>
        <v>3.12</v>
      </c>
      <c r="Q54" s="328">
        <f>((P48-P54)*Q58-(P58-P54)*Q48)/((P48-P54)-(P58-P54))</f>
        <v>2</v>
      </c>
      <c r="R54" s="339">
        <v>1.2</v>
      </c>
      <c r="S54" s="339">
        <v>0.8</v>
      </c>
      <c r="T54" s="339">
        <v>0.7</v>
      </c>
      <c r="U54" s="339">
        <v>0.6</v>
      </c>
      <c r="V54" s="367"/>
    </row>
    <row r="55" spans="2:22" ht="15" customHeight="1" x14ac:dyDescent="0.2">
      <c r="B55" s="297">
        <f>(B54+B56)/2</f>
        <v>25.5</v>
      </c>
      <c r="C55" s="328">
        <f>((B54-B55)*C64-(B64-B55)*C54)/((B54-B55)-(B64-B55))</f>
        <v>1348</v>
      </c>
      <c r="D55" s="328">
        <f t="shared" ref="D55:I55" si="56">((C54-C55)*D64-(C64-C55)*D54)/((C54-C55)-(C64-C55))</f>
        <v>905</v>
      </c>
      <c r="E55" s="372">
        <f t="shared" si="56"/>
        <v>686</v>
      </c>
      <c r="F55" s="328">
        <f t="shared" si="56"/>
        <v>524</v>
      </c>
      <c r="G55" s="328">
        <f t="shared" si="56"/>
        <v>353</v>
      </c>
      <c r="H55" s="328">
        <f t="shared" si="56"/>
        <v>196.5</v>
      </c>
      <c r="I55" s="372">
        <f t="shared" si="56"/>
        <v>121</v>
      </c>
      <c r="L55" s="297">
        <f>(L54+L56)/2</f>
        <v>23.5</v>
      </c>
      <c r="M55" s="328">
        <f>((L48-L55)*M58-(L58-L55)*M48)/((L48-L55)-(L58-L55))</f>
        <v>8.39</v>
      </c>
      <c r="N55" s="328">
        <f>((M48-M55)*N58-(M58-M55)*N48)/((M48-M55)-(M58-M55))</f>
        <v>5.95</v>
      </c>
      <c r="O55" s="328">
        <f>((N48-N55)*O58-(N58-N55)*O48)/((N48-N55)-(N58-N55))</f>
        <v>4.3100000000000005</v>
      </c>
      <c r="P55" s="328">
        <f>((O48-O55)*P58-(O58-O55)*P48)/((O48-O55)-(O58-O55))</f>
        <v>3.1400000000000006</v>
      </c>
      <c r="Q55" s="328">
        <f>((P48-P55)*Q58-(P58-P55)*Q48)/((P48-P55)-(P58-P55))</f>
        <v>2</v>
      </c>
      <c r="R55" s="339">
        <v>1.2</v>
      </c>
      <c r="S55" s="339">
        <v>0.8</v>
      </c>
      <c r="T55" s="339">
        <v>0.7</v>
      </c>
      <c r="U55" s="339">
        <v>0.6</v>
      </c>
      <c r="V55" s="367"/>
    </row>
    <row r="56" spans="2:22" ht="15" customHeight="1" x14ac:dyDescent="0.2">
      <c r="B56" s="297">
        <v>26</v>
      </c>
      <c r="C56" s="328">
        <f>((B54-B56)*C64-(B64-B56)*C54)/((B54-B56)-(B64-B56))</f>
        <v>1356</v>
      </c>
      <c r="D56" s="328">
        <f t="shared" ref="D56:I56" si="57">((C54-C56)*D64-(C64-C56)*D54)/((C54-C56)-(C64-C56))</f>
        <v>910</v>
      </c>
      <c r="E56" s="372">
        <f t="shared" si="57"/>
        <v>692</v>
      </c>
      <c r="F56" s="328">
        <f t="shared" si="57"/>
        <v>528</v>
      </c>
      <c r="G56" s="328">
        <f t="shared" si="57"/>
        <v>356</v>
      </c>
      <c r="H56" s="328">
        <f t="shared" si="57"/>
        <v>198</v>
      </c>
      <c r="I56" s="372">
        <f t="shared" si="57"/>
        <v>122</v>
      </c>
      <c r="L56" s="297">
        <v>24</v>
      </c>
      <c r="M56" s="328">
        <f>((L48-L56)*M58-(L58-L56)*M48)/((L48-L56)-(L58-L56))</f>
        <v>8.4599999999999991</v>
      </c>
      <c r="N56" s="328">
        <f>((M48-M56)*N58-(M58-M56)*N48)/((M48-M56)-(M58-M56))</f>
        <v>5.9999999999999991</v>
      </c>
      <c r="O56" s="328">
        <f>((N48-N56)*O58-(N58-N56)*O48)/((N48-N56)-(N58-N56))</f>
        <v>4.34</v>
      </c>
      <c r="P56" s="328">
        <f>((O48-O56)*P58-(O58-O56)*P48)/((O48-O56)-(O58-O56))</f>
        <v>3.1599999999999997</v>
      </c>
      <c r="Q56" s="328">
        <f>((P48-P56)*Q58-(P58-P56)*Q48)/((P48-P56)-(P58-P56))</f>
        <v>2</v>
      </c>
      <c r="R56" s="339">
        <v>1.2</v>
      </c>
      <c r="S56" s="339">
        <v>0.8</v>
      </c>
      <c r="T56" s="339">
        <v>0.7</v>
      </c>
      <c r="U56" s="339">
        <v>0.6</v>
      </c>
      <c r="V56" s="367"/>
    </row>
    <row r="57" spans="2:22" ht="15" customHeight="1" x14ac:dyDescent="0.2">
      <c r="B57" s="297">
        <f>(B56+B58)/2</f>
        <v>26.5</v>
      </c>
      <c r="C57" s="328">
        <f>((B54-B57)*C64-(B64-B57)*C54)/((B54-B57)-(B64-B57))</f>
        <v>1364</v>
      </c>
      <c r="D57" s="328">
        <f t="shared" ref="D57:I57" si="58">((C54-C57)*D64-(C64-C57)*D54)/((C54-C57)-(C64-C57))</f>
        <v>915</v>
      </c>
      <c r="E57" s="372">
        <f t="shared" si="58"/>
        <v>698</v>
      </c>
      <c r="F57" s="328">
        <f t="shared" si="58"/>
        <v>532</v>
      </c>
      <c r="G57" s="328">
        <f t="shared" si="58"/>
        <v>359</v>
      </c>
      <c r="H57" s="328">
        <f t="shared" si="58"/>
        <v>199.5</v>
      </c>
      <c r="I57" s="372">
        <f t="shared" si="58"/>
        <v>123</v>
      </c>
      <c r="L57" s="297">
        <f>(L56+L58)/2</f>
        <v>24.5</v>
      </c>
      <c r="M57" s="328">
        <f>((L48-L57)*M58-(L58-L57)*M48)/((L48-L57)-(L58-L57))</f>
        <v>8.5299999999999994</v>
      </c>
      <c r="N57" s="328">
        <f>((M48-M57)*N58-(M58-M57)*N48)/((M48-M57)-(M58-M57))</f>
        <v>6.0499999999999989</v>
      </c>
      <c r="O57" s="328">
        <f>((N48-N57)*O58-(N58-N57)*O48)/((N48-N57)-(N58-N57))</f>
        <v>4.37</v>
      </c>
      <c r="P57" s="328">
        <f>((O48-O57)*P58-(O58-O57)*P48)/((O48-O57)-(O58-O57))</f>
        <v>3.18</v>
      </c>
      <c r="Q57" s="328">
        <f>((P48-P57)*Q58-(P58-P57)*Q48)/((P48-P57)-(P58-P57))</f>
        <v>2</v>
      </c>
      <c r="R57" s="339">
        <v>1.2</v>
      </c>
      <c r="S57" s="339">
        <v>0.8</v>
      </c>
      <c r="T57" s="339">
        <v>0.7</v>
      </c>
      <c r="U57" s="339">
        <v>0.6</v>
      </c>
      <c r="V57" s="367"/>
    </row>
    <row r="58" spans="2:22" ht="15" customHeight="1" x14ac:dyDescent="0.2">
      <c r="B58" s="297">
        <v>27</v>
      </c>
      <c r="C58" s="328">
        <f>((B54-B58)*C64-(B64-B58)*C54)/((B54-B58)-(B64-B58))</f>
        <v>1372</v>
      </c>
      <c r="D58" s="328">
        <f t="shared" ref="D58:I58" si="59">((C54-C58)*D64-(C64-C58)*D54)/((C54-C58)-(C64-C58))</f>
        <v>920</v>
      </c>
      <c r="E58" s="372">
        <f t="shared" si="59"/>
        <v>704</v>
      </c>
      <c r="F58" s="328">
        <f t="shared" si="59"/>
        <v>536</v>
      </c>
      <c r="G58" s="328">
        <f t="shared" si="59"/>
        <v>362</v>
      </c>
      <c r="H58" s="328">
        <f t="shared" si="59"/>
        <v>201</v>
      </c>
      <c r="I58" s="372">
        <f t="shared" si="59"/>
        <v>124</v>
      </c>
      <c r="L58" s="311">
        <v>25</v>
      </c>
      <c r="M58" s="308">
        <v>8.6</v>
      </c>
      <c r="N58" s="308">
        <v>6.1</v>
      </c>
      <c r="O58" s="309">
        <v>4.4000000000000004</v>
      </c>
      <c r="P58" s="309">
        <v>3.2</v>
      </c>
      <c r="Q58" s="309">
        <v>2</v>
      </c>
      <c r="R58" s="309">
        <v>1.2</v>
      </c>
      <c r="S58" s="309">
        <v>0.8</v>
      </c>
      <c r="T58" s="332">
        <v>0.7</v>
      </c>
      <c r="U58" s="332">
        <v>0.6</v>
      </c>
      <c r="V58" s="366"/>
    </row>
    <row r="59" spans="2:22" ht="15" customHeight="1" x14ac:dyDescent="0.2">
      <c r="B59" s="297">
        <f>(B58+B60)/2</f>
        <v>27.5</v>
      </c>
      <c r="C59" s="328">
        <f>((B54-B59)*C64-(B64-B59)*C54)/((B54-B59)-(B64-B59))</f>
        <v>1380</v>
      </c>
      <c r="D59" s="328">
        <f t="shared" ref="D59:I59" si="60">((C54-C59)*D64-(C64-C59)*D54)/((C54-C59)-(C64-C59))</f>
        <v>925</v>
      </c>
      <c r="E59" s="372">
        <f t="shared" si="60"/>
        <v>710</v>
      </c>
      <c r="F59" s="328">
        <f t="shared" si="60"/>
        <v>540</v>
      </c>
      <c r="G59" s="328">
        <f t="shared" si="60"/>
        <v>365</v>
      </c>
      <c r="H59" s="328">
        <f t="shared" si="60"/>
        <v>202.5</v>
      </c>
      <c r="I59" s="372">
        <f t="shared" si="60"/>
        <v>125</v>
      </c>
      <c r="L59" s="297">
        <f>(L58+L60)/2</f>
        <v>25.5</v>
      </c>
      <c r="M59" s="328">
        <f t="shared" ref="M59:R59" si="61">((L58-L59)*M68-(L68-L59)*M58)/((L58-L59)-(L68-L59))</f>
        <v>8.6699999999999982</v>
      </c>
      <c r="N59" s="328">
        <f t="shared" si="61"/>
        <v>6.1499999999999995</v>
      </c>
      <c r="O59" s="328">
        <f t="shared" si="61"/>
        <v>4.43</v>
      </c>
      <c r="P59" s="328">
        <f t="shared" si="61"/>
        <v>3.2199999999999998</v>
      </c>
      <c r="Q59" s="328">
        <f t="shared" si="61"/>
        <v>2.0099999999999998</v>
      </c>
      <c r="R59" s="328">
        <f t="shared" si="61"/>
        <v>1.2</v>
      </c>
      <c r="S59" s="339">
        <v>0.81</v>
      </c>
      <c r="T59" s="339">
        <v>0.71</v>
      </c>
      <c r="U59" s="339">
        <v>0.61</v>
      </c>
      <c r="V59" s="367"/>
    </row>
    <row r="60" spans="2:22" ht="15" customHeight="1" x14ac:dyDescent="0.2">
      <c r="B60" s="297">
        <v>28</v>
      </c>
      <c r="C60" s="328">
        <f>((B54-B60)*C64-(B64-B60)*C54)/((B54-B60)-(B64-B60))</f>
        <v>1388</v>
      </c>
      <c r="D60" s="328">
        <f t="shared" ref="D60:I60" si="62">((C54-C60)*D64-(C64-C60)*D54)/((C54-C60)-(C64-C60))</f>
        <v>930</v>
      </c>
      <c r="E60" s="372">
        <f t="shared" si="62"/>
        <v>716</v>
      </c>
      <c r="F60" s="328">
        <f t="shared" si="62"/>
        <v>544</v>
      </c>
      <c r="G60" s="328">
        <f t="shared" si="62"/>
        <v>368</v>
      </c>
      <c r="H60" s="328">
        <f t="shared" si="62"/>
        <v>204</v>
      </c>
      <c r="I60" s="372">
        <f t="shared" si="62"/>
        <v>126</v>
      </c>
      <c r="L60" s="297">
        <v>26</v>
      </c>
      <c r="M60" s="328">
        <f t="shared" ref="M60:R60" si="63">((L58-L60)*M68-(L68-L60)*M58)/((L58-L60)-(L68-L60))</f>
        <v>8.74</v>
      </c>
      <c r="N60" s="328">
        <f t="shared" si="63"/>
        <v>6.2</v>
      </c>
      <c r="O60" s="328">
        <f t="shared" si="63"/>
        <v>4.4600000000000009</v>
      </c>
      <c r="P60" s="328">
        <f t="shared" si="63"/>
        <v>3.24</v>
      </c>
      <c r="Q60" s="328">
        <f t="shared" si="63"/>
        <v>2.02</v>
      </c>
      <c r="R60" s="328">
        <f t="shared" si="63"/>
        <v>1.2</v>
      </c>
      <c r="S60" s="339">
        <v>0.82</v>
      </c>
      <c r="T60" s="339">
        <v>0.72</v>
      </c>
      <c r="U60" s="339">
        <v>0.62</v>
      </c>
      <c r="V60" s="367"/>
    </row>
    <row r="61" spans="2:22" ht="15" customHeight="1" x14ac:dyDescent="0.2">
      <c r="B61" s="297">
        <f>(B60+B62)/2</f>
        <v>28.5</v>
      </c>
      <c r="C61" s="328">
        <f>((B54-B61)*C64-(B64-B61)*C54)/((B54-B61)-(B64-B61))</f>
        <v>1396</v>
      </c>
      <c r="D61" s="328">
        <f t="shared" ref="D61:I61" si="64">((C54-C61)*D64-(C64-C61)*D54)/((C54-C61)-(C64-C61))</f>
        <v>935</v>
      </c>
      <c r="E61" s="372">
        <f t="shared" si="64"/>
        <v>722</v>
      </c>
      <c r="F61" s="328">
        <f t="shared" si="64"/>
        <v>548</v>
      </c>
      <c r="G61" s="328">
        <f t="shared" si="64"/>
        <v>371</v>
      </c>
      <c r="H61" s="328">
        <f t="shared" si="64"/>
        <v>205.5</v>
      </c>
      <c r="I61" s="372">
        <f t="shared" si="64"/>
        <v>127</v>
      </c>
      <c r="L61" s="297">
        <f>(L60+L62)/2</f>
        <v>26.5</v>
      </c>
      <c r="M61" s="328">
        <f t="shared" ref="M61:R61" si="65">((L58-L61)*M68-(L68-L61)*M58)/((L58-L61)-(L68-L61))</f>
        <v>8.8099999999999987</v>
      </c>
      <c r="N61" s="328">
        <f t="shared" si="65"/>
        <v>6.2499999999999982</v>
      </c>
      <c r="O61" s="328">
        <f t="shared" si="65"/>
        <v>4.4899999999999993</v>
      </c>
      <c r="P61" s="328">
        <f t="shared" si="65"/>
        <v>3.26</v>
      </c>
      <c r="Q61" s="328">
        <f t="shared" si="65"/>
        <v>2.0300000000000002</v>
      </c>
      <c r="R61" s="328">
        <f t="shared" si="65"/>
        <v>1.2</v>
      </c>
      <c r="S61" s="339">
        <v>0.83</v>
      </c>
      <c r="T61" s="339">
        <v>0.73</v>
      </c>
      <c r="U61" s="339">
        <v>0.63</v>
      </c>
      <c r="V61" s="367"/>
    </row>
    <row r="62" spans="2:22" ht="15" customHeight="1" x14ac:dyDescent="0.2">
      <c r="B62" s="297">
        <v>29</v>
      </c>
      <c r="C62" s="328">
        <f>((B54-B62)*C64-(B64-B62)*C54)/((B54-B62)-(B64-B62))</f>
        <v>1404</v>
      </c>
      <c r="D62" s="328">
        <f t="shared" ref="D62:I62" si="66">((C54-C62)*D64-(C64-C62)*D54)/((C54-C62)-(C64-C62))</f>
        <v>940</v>
      </c>
      <c r="E62" s="372">
        <f t="shared" si="66"/>
        <v>728</v>
      </c>
      <c r="F62" s="328">
        <f t="shared" si="66"/>
        <v>552</v>
      </c>
      <c r="G62" s="328">
        <f t="shared" si="66"/>
        <v>374</v>
      </c>
      <c r="H62" s="328">
        <f t="shared" si="66"/>
        <v>207</v>
      </c>
      <c r="I62" s="372">
        <f t="shared" si="66"/>
        <v>128</v>
      </c>
      <c r="L62" s="297">
        <v>27</v>
      </c>
      <c r="M62" s="328">
        <f t="shared" ref="M62:R62" si="67">((L58-L62)*M68-(L68-L62)*M58)/((L58-L62)-(L68-L62))</f>
        <v>8.879999999999999</v>
      </c>
      <c r="N62" s="328">
        <f t="shared" si="67"/>
        <v>6.299999999999998</v>
      </c>
      <c r="O62" s="328">
        <f t="shared" si="67"/>
        <v>4.5199999999999996</v>
      </c>
      <c r="P62" s="328">
        <f t="shared" si="67"/>
        <v>3.28</v>
      </c>
      <c r="Q62" s="328">
        <f t="shared" si="67"/>
        <v>2.04</v>
      </c>
      <c r="R62" s="328">
        <f t="shared" si="67"/>
        <v>1.2</v>
      </c>
      <c r="S62" s="339">
        <v>0.84</v>
      </c>
      <c r="T62" s="339">
        <v>0.74</v>
      </c>
      <c r="U62" s="339">
        <v>0.64</v>
      </c>
      <c r="V62" s="367"/>
    </row>
    <row r="63" spans="2:22" ht="15" customHeight="1" x14ac:dyDescent="0.2">
      <c r="B63" s="297">
        <f>(B62+B64)/2</f>
        <v>29.5</v>
      </c>
      <c r="C63" s="328">
        <f>((B54-B63)*C64-(B64-B63)*C54)/((B54-B63)-(B64-B63))</f>
        <v>1412</v>
      </c>
      <c r="D63" s="328">
        <f t="shared" ref="D63:I63" si="68">((C54-C63)*D64-(C64-C63)*D54)/((C54-C63)-(C64-C63))</f>
        <v>945</v>
      </c>
      <c r="E63" s="372">
        <f t="shared" si="68"/>
        <v>734</v>
      </c>
      <c r="F63" s="328">
        <f t="shared" si="68"/>
        <v>556</v>
      </c>
      <c r="G63" s="328">
        <f t="shared" si="68"/>
        <v>377</v>
      </c>
      <c r="H63" s="328">
        <f t="shared" si="68"/>
        <v>208.5</v>
      </c>
      <c r="I63" s="372">
        <f t="shared" si="68"/>
        <v>129</v>
      </c>
      <c r="L63" s="297">
        <f>(L62+L64)/2</f>
        <v>27.5</v>
      </c>
      <c r="M63" s="328">
        <f t="shared" ref="M63:R63" si="69">((L58-L63)*M68-(L68-L63)*M58)/((L58-L63)-(L68-L63))</f>
        <v>8.9499999999999993</v>
      </c>
      <c r="N63" s="328">
        <f t="shared" si="69"/>
        <v>6.3499999999999988</v>
      </c>
      <c r="O63" s="328">
        <f t="shared" si="69"/>
        <v>4.55</v>
      </c>
      <c r="P63" s="328">
        <f t="shared" si="69"/>
        <v>3.3</v>
      </c>
      <c r="Q63" s="328">
        <f t="shared" si="69"/>
        <v>2.0500000000000003</v>
      </c>
      <c r="R63" s="328">
        <f t="shared" si="69"/>
        <v>1.2</v>
      </c>
      <c r="S63" s="339">
        <v>0.85</v>
      </c>
      <c r="T63" s="339">
        <v>0.75</v>
      </c>
      <c r="U63" s="339">
        <v>0.65</v>
      </c>
      <c r="V63" s="367"/>
    </row>
    <row r="64" spans="2:22" ht="15" customHeight="1" x14ac:dyDescent="0.2">
      <c r="B64" s="311">
        <v>30</v>
      </c>
      <c r="C64" s="325">
        <v>1420</v>
      </c>
      <c r="D64" s="326">
        <v>950</v>
      </c>
      <c r="E64" s="327">
        <v>740</v>
      </c>
      <c r="F64" s="326">
        <v>560</v>
      </c>
      <c r="G64" s="326">
        <v>380</v>
      </c>
      <c r="H64" s="326">
        <v>210</v>
      </c>
      <c r="I64" s="327">
        <v>130</v>
      </c>
      <c r="L64" s="297">
        <v>28</v>
      </c>
      <c r="M64" s="328">
        <f t="shared" ref="M64:R64" si="70">((L58-L64)*M68-(L68-L64)*M58)/((L58-L64)-(L68-L64))</f>
        <v>9.02</v>
      </c>
      <c r="N64" s="328">
        <f t="shared" si="70"/>
        <v>6.3999999999999986</v>
      </c>
      <c r="O64" s="328">
        <f t="shared" si="70"/>
        <v>4.58</v>
      </c>
      <c r="P64" s="328">
        <f t="shared" si="70"/>
        <v>3.32</v>
      </c>
      <c r="Q64" s="328">
        <f t="shared" si="70"/>
        <v>2.06</v>
      </c>
      <c r="R64" s="328">
        <f t="shared" si="70"/>
        <v>1.2</v>
      </c>
      <c r="S64" s="339">
        <v>0.86</v>
      </c>
      <c r="T64" s="339">
        <v>0.76</v>
      </c>
      <c r="U64" s="339">
        <v>0.66</v>
      </c>
      <c r="V64" s="367"/>
    </row>
    <row r="65" spans="2:22" ht="15" customHeight="1" x14ac:dyDescent="0.2">
      <c r="B65" s="297">
        <f>(B64+B66)/2</f>
        <v>30.5</v>
      </c>
      <c r="C65" s="328">
        <f>((B64-B65)*C74-(B74-B65)*C64)/((B64-B65)-(B74-B65))</f>
        <v>1428</v>
      </c>
      <c r="D65" s="328">
        <f t="shared" ref="D65:I65" si="71">((C64-C65)*D74-(C74-C65)*D64)/((C64-C65)-(C74-C65))</f>
        <v>955</v>
      </c>
      <c r="E65" s="372">
        <f t="shared" si="71"/>
        <v>746</v>
      </c>
      <c r="F65" s="328">
        <f t="shared" si="71"/>
        <v>564</v>
      </c>
      <c r="G65" s="328">
        <f t="shared" si="71"/>
        <v>383</v>
      </c>
      <c r="H65" s="328">
        <f t="shared" si="71"/>
        <v>211.5</v>
      </c>
      <c r="I65" s="372">
        <f t="shared" si="71"/>
        <v>131</v>
      </c>
      <c r="L65" s="297">
        <f>(L64+L66)/2</f>
        <v>28.5</v>
      </c>
      <c r="M65" s="328">
        <f t="shared" ref="M65:R65" si="72">((L58-L65)*M68-(L68-L65)*M58)/((L58-L65)-(L68-L65))</f>
        <v>9.09</v>
      </c>
      <c r="N65" s="328">
        <f t="shared" si="72"/>
        <v>6.4499999999999984</v>
      </c>
      <c r="O65" s="328">
        <f t="shared" si="72"/>
        <v>4.6099999999999994</v>
      </c>
      <c r="P65" s="328">
        <f t="shared" si="72"/>
        <v>3.34</v>
      </c>
      <c r="Q65" s="328">
        <f t="shared" si="72"/>
        <v>2.0699999999999998</v>
      </c>
      <c r="R65" s="328">
        <f t="shared" si="72"/>
        <v>1.2</v>
      </c>
      <c r="S65" s="339">
        <v>0.87</v>
      </c>
      <c r="T65" s="339">
        <v>0.77</v>
      </c>
      <c r="U65" s="339">
        <v>0.67</v>
      </c>
      <c r="V65" s="367"/>
    </row>
    <row r="66" spans="2:22" ht="15" customHeight="1" x14ac:dyDescent="0.2">
      <c r="B66" s="297">
        <v>31</v>
      </c>
      <c r="C66" s="328">
        <f>((B64-B66)*C74-(B74-B66)*C64)/((B64-B66)-(B74-B66))</f>
        <v>1436</v>
      </c>
      <c r="D66" s="328">
        <f t="shared" ref="D66:I66" si="73">((C64-C66)*D74-(C74-C66)*D64)/((C64-C66)-(C74-C66))</f>
        <v>960</v>
      </c>
      <c r="E66" s="372">
        <f t="shared" si="73"/>
        <v>752</v>
      </c>
      <c r="F66" s="328">
        <f t="shared" si="73"/>
        <v>568</v>
      </c>
      <c r="G66" s="328">
        <f t="shared" si="73"/>
        <v>386</v>
      </c>
      <c r="H66" s="328">
        <f t="shared" si="73"/>
        <v>213</v>
      </c>
      <c r="I66" s="372">
        <f t="shared" si="73"/>
        <v>132</v>
      </c>
      <c r="L66" s="297">
        <v>29</v>
      </c>
      <c r="M66" s="328">
        <f t="shared" ref="M66:R66" si="74">((L58-L66)*M68-(L68-L66)*M58)/((L58-L66)-(L68-L66))</f>
        <v>9.16</v>
      </c>
      <c r="N66" s="328">
        <f t="shared" si="74"/>
        <v>6.5</v>
      </c>
      <c r="O66" s="328">
        <f t="shared" si="74"/>
        <v>4.6400000000000006</v>
      </c>
      <c r="P66" s="328">
        <f t="shared" si="74"/>
        <v>3.3600000000000003</v>
      </c>
      <c r="Q66" s="328">
        <f t="shared" si="74"/>
        <v>2.08</v>
      </c>
      <c r="R66" s="328">
        <f t="shared" si="74"/>
        <v>1.2</v>
      </c>
      <c r="S66" s="339">
        <v>0.88</v>
      </c>
      <c r="T66" s="339">
        <v>0.78</v>
      </c>
      <c r="U66" s="339">
        <v>0.68</v>
      </c>
      <c r="V66" s="367"/>
    </row>
    <row r="67" spans="2:22" ht="15" customHeight="1" x14ac:dyDescent="0.2">
      <c r="B67" s="297">
        <f>(B66+B68)/2</f>
        <v>31.5</v>
      </c>
      <c r="C67" s="328">
        <f>((B64-B67)*C74-(B74-B67)*C64)/((B64-B67)-(B74-B67))</f>
        <v>1444</v>
      </c>
      <c r="D67" s="328">
        <f t="shared" ref="D67:I67" si="75">((C64-C67)*D74-(C74-C67)*D64)/((C64-C67)-(C74-C67))</f>
        <v>965</v>
      </c>
      <c r="E67" s="372">
        <f t="shared" si="75"/>
        <v>758</v>
      </c>
      <c r="F67" s="328">
        <f t="shared" si="75"/>
        <v>572</v>
      </c>
      <c r="G67" s="328">
        <f t="shared" si="75"/>
        <v>389</v>
      </c>
      <c r="H67" s="328">
        <f t="shared" si="75"/>
        <v>214.5</v>
      </c>
      <c r="I67" s="372">
        <f t="shared" si="75"/>
        <v>133</v>
      </c>
      <c r="L67" s="297">
        <f>(L66+L68)/2</f>
        <v>29.5</v>
      </c>
      <c r="M67" s="328">
        <f t="shared" ref="M67:R67" si="76">((L58-L67)*M68-(L68-L67)*M58)/((L58-L67)-(L68-L67))</f>
        <v>9.23</v>
      </c>
      <c r="N67" s="328">
        <f t="shared" si="76"/>
        <v>6.5499999999999989</v>
      </c>
      <c r="O67" s="328">
        <f t="shared" si="76"/>
        <v>4.67</v>
      </c>
      <c r="P67" s="328">
        <f t="shared" si="76"/>
        <v>3.38</v>
      </c>
      <c r="Q67" s="328">
        <f t="shared" si="76"/>
        <v>2.09</v>
      </c>
      <c r="R67" s="328">
        <f t="shared" si="76"/>
        <v>1.2</v>
      </c>
      <c r="S67" s="339">
        <v>0.89</v>
      </c>
      <c r="T67" s="339">
        <v>0.79</v>
      </c>
      <c r="U67" s="339">
        <v>0.69</v>
      </c>
      <c r="V67" s="367"/>
    </row>
    <row r="68" spans="2:22" ht="15" customHeight="1" x14ac:dyDescent="0.2">
      <c r="B68" s="297">
        <v>32</v>
      </c>
      <c r="C68" s="328">
        <f>((B64-B68)*C74-(B74-B68)*C64)/((B64-B68)-(B74-B68))</f>
        <v>1452</v>
      </c>
      <c r="D68" s="328">
        <f t="shared" ref="D68:I68" si="77">((C64-C68)*D74-(C74-C68)*D64)/((C64-C68)-(C74-C68))</f>
        <v>970</v>
      </c>
      <c r="E68" s="372">
        <f t="shared" si="77"/>
        <v>764</v>
      </c>
      <c r="F68" s="328">
        <f t="shared" si="77"/>
        <v>576</v>
      </c>
      <c r="G68" s="328">
        <f t="shared" si="77"/>
        <v>392</v>
      </c>
      <c r="H68" s="328">
        <f t="shared" si="77"/>
        <v>216</v>
      </c>
      <c r="I68" s="372">
        <f t="shared" si="77"/>
        <v>134</v>
      </c>
      <c r="L68" s="311">
        <v>30</v>
      </c>
      <c r="M68" s="308">
        <v>9.3000000000000007</v>
      </c>
      <c r="N68" s="308">
        <v>6.6</v>
      </c>
      <c r="O68" s="309">
        <v>4.7</v>
      </c>
      <c r="P68" s="309">
        <v>3.4</v>
      </c>
      <c r="Q68" s="309">
        <v>2.1</v>
      </c>
      <c r="R68" s="309">
        <v>1.2</v>
      </c>
      <c r="S68" s="309">
        <v>0.9</v>
      </c>
      <c r="T68" s="332">
        <v>0.8</v>
      </c>
      <c r="U68" s="332">
        <v>0.7</v>
      </c>
      <c r="V68" s="366"/>
    </row>
    <row r="69" spans="2:22" ht="15" customHeight="1" x14ac:dyDescent="0.2">
      <c r="B69" s="297">
        <f>(B68+B70)/2</f>
        <v>32.5</v>
      </c>
      <c r="C69" s="328">
        <f>((B64-B69)*C74-(B74-B69)*C64)/((B64-B69)-(B74-B69))</f>
        <v>1460</v>
      </c>
      <c r="D69" s="328">
        <f t="shared" ref="D69:I69" si="78">((C64-C69)*D74-(C74-C69)*D64)/((C64-C69)-(C74-C69))</f>
        <v>975</v>
      </c>
      <c r="E69" s="372">
        <f t="shared" si="78"/>
        <v>770</v>
      </c>
      <c r="F69" s="328">
        <f t="shared" si="78"/>
        <v>580</v>
      </c>
      <c r="G69" s="328">
        <f t="shared" si="78"/>
        <v>395</v>
      </c>
      <c r="H69" s="328">
        <f t="shared" si="78"/>
        <v>217.5</v>
      </c>
      <c r="I69" s="372">
        <f t="shared" si="78"/>
        <v>135</v>
      </c>
      <c r="L69" s="297">
        <f>(L68+L70)/2</f>
        <v>30.5</v>
      </c>
      <c r="M69" s="328">
        <f>((L68-L69)*M78-(L78-L69)*M68)/((L68-L69)-(L78-L69))</f>
        <v>9.370000000000001</v>
      </c>
      <c r="N69" s="328">
        <f t="shared" ref="N69:S69" si="79">((M68-M69)*N78-(M78-M69)*N68)/((M68-M69)-(M78-M69))</f>
        <v>6.64</v>
      </c>
      <c r="O69" s="328">
        <f t="shared" si="79"/>
        <v>4.7300000000000004</v>
      </c>
      <c r="P69" s="328">
        <f t="shared" si="79"/>
        <v>3.42</v>
      </c>
      <c r="Q69" s="328">
        <f t="shared" si="79"/>
        <v>2.11</v>
      </c>
      <c r="R69" s="328">
        <f t="shared" si="79"/>
        <v>1.2099999999999997</v>
      </c>
      <c r="S69" s="328">
        <f t="shared" si="79"/>
        <v>0.90000000000000013</v>
      </c>
      <c r="T69" s="339">
        <v>0.8</v>
      </c>
      <c r="U69" s="339">
        <v>0.7</v>
      </c>
      <c r="V69" s="367"/>
    </row>
    <row r="70" spans="2:22" ht="15" customHeight="1" x14ac:dyDescent="0.2">
      <c r="B70" s="297">
        <v>33</v>
      </c>
      <c r="C70" s="328">
        <f>((B64-B70)*C74-(B74-B70)*C64)/((B64-B70)-(B74-B70))</f>
        <v>1468</v>
      </c>
      <c r="D70" s="328">
        <f t="shared" ref="D70:I70" si="80">((C64-C70)*D74-(C74-C70)*D64)/((C64-C70)-(C74-C70))</f>
        <v>980</v>
      </c>
      <c r="E70" s="372">
        <f t="shared" si="80"/>
        <v>776</v>
      </c>
      <c r="F70" s="328">
        <f t="shared" si="80"/>
        <v>584</v>
      </c>
      <c r="G70" s="328">
        <f t="shared" si="80"/>
        <v>398</v>
      </c>
      <c r="H70" s="328">
        <f t="shared" si="80"/>
        <v>219</v>
      </c>
      <c r="I70" s="372">
        <f t="shared" si="80"/>
        <v>136</v>
      </c>
      <c r="L70" s="297">
        <v>31</v>
      </c>
      <c r="M70" s="328">
        <f>((L68-L70)*M78-(L78-L70)*M68)/((L68-L70)-(L78-L70))</f>
        <v>9.4400000000000013</v>
      </c>
      <c r="N70" s="328">
        <f t="shared" ref="N70:S70" si="81">((M68-M70)*N78-(M78-M70)*N68)/((M68-M70)-(M78-M70))</f>
        <v>6.68</v>
      </c>
      <c r="O70" s="328">
        <f t="shared" si="81"/>
        <v>4.76</v>
      </c>
      <c r="P70" s="328">
        <f t="shared" si="81"/>
        <v>3.44</v>
      </c>
      <c r="Q70" s="328">
        <f t="shared" si="81"/>
        <v>2.12</v>
      </c>
      <c r="R70" s="328">
        <f t="shared" si="81"/>
        <v>1.22</v>
      </c>
      <c r="S70" s="328">
        <f t="shared" si="81"/>
        <v>0.9</v>
      </c>
      <c r="T70" s="339">
        <v>0.8</v>
      </c>
      <c r="U70" s="339">
        <v>0.7</v>
      </c>
      <c r="V70" s="367"/>
    </row>
    <row r="71" spans="2:22" ht="15" customHeight="1" x14ac:dyDescent="0.2">
      <c r="B71" s="297">
        <f>(B70+B72)/2</f>
        <v>33.5</v>
      </c>
      <c r="C71" s="328">
        <f>((B64-B71)*C74-(B74-B71)*C64)/((B64-B71)-(B74-B71))</f>
        <v>1476</v>
      </c>
      <c r="D71" s="328">
        <f t="shared" ref="D71:I71" si="82">((C64-C71)*D74-(C74-C71)*D64)/((C64-C71)-(C74-C71))</f>
        <v>985</v>
      </c>
      <c r="E71" s="372">
        <f t="shared" si="82"/>
        <v>782</v>
      </c>
      <c r="F71" s="328">
        <f t="shared" si="82"/>
        <v>588</v>
      </c>
      <c r="G71" s="328">
        <f t="shared" si="82"/>
        <v>401</v>
      </c>
      <c r="H71" s="328">
        <f t="shared" si="82"/>
        <v>220.5</v>
      </c>
      <c r="I71" s="372">
        <f t="shared" si="82"/>
        <v>137</v>
      </c>
      <c r="L71" s="297">
        <f>(L70+L72)/2</f>
        <v>31.5</v>
      </c>
      <c r="M71" s="328">
        <f>((L68-L71)*M78-(L78-L71)*M68)/((L68-L71)-(L78-L71))</f>
        <v>9.5100000000000016</v>
      </c>
      <c r="N71" s="328">
        <f t="shared" ref="N71:S71" si="83">((M68-M71)*N78-(M78-M71)*N68)/((M68-M71)-(M78-M71))</f>
        <v>6.72</v>
      </c>
      <c r="O71" s="328">
        <f t="shared" si="83"/>
        <v>4.79</v>
      </c>
      <c r="P71" s="328">
        <f t="shared" si="83"/>
        <v>3.46</v>
      </c>
      <c r="Q71" s="328">
        <f t="shared" si="83"/>
        <v>2.13</v>
      </c>
      <c r="R71" s="328">
        <f t="shared" si="83"/>
        <v>1.2299999999999998</v>
      </c>
      <c r="S71" s="328">
        <f t="shared" si="83"/>
        <v>0.90000000000000013</v>
      </c>
      <c r="T71" s="339">
        <v>0.8</v>
      </c>
      <c r="U71" s="339">
        <v>0.7</v>
      </c>
      <c r="V71" s="367"/>
    </row>
    <row r="72" spans="2:22" ht="15" customHeight="1" x14ac:dyDescent="0.2">
      <c r="B72" s="297">
        <v>34</v>
      </c>
      <c r="C72" s="328">
        <f>((B64-B72)*C74-(B74-B72)*C64)/((B64-B72)-(B74-B72))</f>
        <v>1484</v>
      </c>
      <c r="D72" s="328">
        <f t="shared" ref="D72:I72" si="84">((C64-C72)*D74-(C74-C72)*D64)/((C64-C72)-(C74-C72))</f>
        <v>990</v>
      </c>
      <c r="E72" s="372">
        <f t="shared" si="84"/>
        <v>788</v>
      </c>
      <c r="F72" s="328">
        <f t="shared" si="84"/>
        <v>592</v>
      </c>
      <c r="G72" s="328">
        <f t="shared" si="84"/>
        <v>404</v>
      </c>
      <c r="H72" s="328">
        <f t="shared" si="84"/>
        <v>222</v>
      </c>
      <c r="I72" s="372">
        <f t="shared" si="84"/>
        <v>138</v>
      </c>
      <c r="L72" s="297">
        <v>32</v>
      </c>
      <c r="M72" s="328">
        <f>((L68-L72)*M78-(L78-L72)*M68)/((L68-L72)-(L78-L72))</f>
        <v>9.5800000000000018</v>
      </c>
      <c r="N72" s="328">
        <f t="shared" ref="N72:S72" si="85">((M68-M72)*N78-(M78-M72)*N68)/((M68-M72)-(M78-M72))</f>
        <v>6.7600000000000007</v>
      </c>
      <c r="O72" s="328">
        <f t="shared" si="85"/>
        <v>4.82</v>
      </c>
      <c r="P72" s="328">
        <f t="shared" si="85"/>
        <v>3.48</v>
      </c>
      <c r="Q72" s="328">
        <f t="shared" si="85"/>
        <v>2.14</v>
      </c>
      <c r="R72" s="328">
        <f t="shared" si="85"/>
        <v>1.24</v>
      </c>
      <c r="S72" s="328">
        <f t="shared" si="85"/>
        <v>0.9</v>
      </c>
      <c r="T72" s="339">
        <v>0.8</v>
      </c>
      <c r="U72" s="339">
        <v>0.7</v>
      </c>
      <c r="V72" s="367"/>
    </row>
    <row r="73" spans="2:22" ht="15" customHeight="1" x14ac:dyDescent="0.2">
      <c r="B73" s="297">
        <f>(B72+B74)/2</f>
        <v>34.5</v>
      </c>
      <c r="C73" s="328">
        <f>((B64-B73)*C74-(B74-B73)*C64)/((B64-B73)-(B74-B73))</f>
        <v>1492</v>
      </c>
      <c r="D73" s="328">
        <f t="shared" ref="D73:I73" si="86">((C64-C73)*D74-(C74-C73)*D64)/((C64-C73)-(C74-C73))</f>
        <v>995</v>
      </c>
      <c r="E73" s="372">
        <f t="shared" si="86"/>
        <v>794</v>
      </c>
      <c r="F73" s="328">
        <f t="shared" si="86"/>
        <v>596</v>
      </c>
      <c r="G73" s="328">
        <f t="shared" si="86"/>
        <v>407</v>
      </c>
      <c r="H73" s="328">
        <f t="shared" si="86"/>
        <v>223.5</v>
      </c>
      <c r="I73" s="372">
        <f t="shared" si="86"/>
        <v>139</v>
      </c>
      <c r="L73" s="297">
        <f>(L72+L74)/2</f>
        <v>32.5</v>
      </c>
      <c r="M73" s="328">
        <f>((L68-L73)*M78-(L78-L73)*M68)/((L68-L73)-(L78-L73))</f>
        <v>9.65</v>
      </c>
      <c r="N73" s="328">
        <f t="shared" ref="N73:S73" si="87">((M68-M73)*N78-(M78-M73)*N68)/((M68-M73)-(M78-M73))</f>
        <v>6.7999999999999989</v>
      </c>
      <c r="O73" s="328">
        <f t="shared" si="87"/>
        <v>4.8499999999999996</v>
      </c>
      <c r="P73" s="328">
        <f t="shared" si="87"/>
        <v>3.5</v>
      </c>
      <c r="Q73" s="328">
        <f t="shared" si="87"/>
        <v>2.15</v>
      </c>
      <c r="R73" s="328">
        <f t="shared" si="87"/>
        <v>1.2499999999999998</v>
      </c>
      <c r="S73" s="328">
        <f t="shared" si="87"/>
        <v>0.9</v>
      </c>
      <c r="T73" s="339">
        <v>0.8</v>
      </c>
      <c r="U73" s="339">
        <v>0.7</v>
      </c>
      <c r="V73" s="367"/>
    </row>
    <row r="74" spans="2:22" ht="15" customHeight="1" x14ac:dyDescent="0.2">
      <c r="B74" s="322">
        <v>35</v>
      </c>
      <c r="C74" s="329">
        <v>1500</v>
      </c>
      <c r="D74" s="330">
        <v>1000</v>
      </c>
      <c r="E74" s="331">
        <v>800</v>
      </c>
      <c r="F74" s="330">
        <v>600</v>
      </c>
      <c r="G74" s="330">
        <v>410</v>
      </c>
      <c r="H74" s="330">
        <v>225</v>
      </c>
      <c r="I74" s="331">
        <v>140</v>
      </c>
      <c r="L74" s="297">
        <v>33</v>
      </c>
      <c r="M74" s="328">
        <f>((L68-L74)*M78-(L78-L74)*M68)/((L68-L74)-(L78-L74))</f>
        <v>9.7200000000000006</v>
      </c>
      <c r="N74" s="328">
        <f t="shared" ref="N74:S74" si="88">((M68-M74)*N78-(M78-M74)*N68)/((M68-M74)-(M78-M74))</f>
        <v>6.84</v>
      </c>
      <c r="O74" s="328">
        <f t="shared" si="88"/>
        <v>4.88</v>
      </c>
      <c r="P74" s="328">
        <f t="shared" si="88"/>
        <v>3.52</v>
      </c>
      <c r="Q74" s="328">
        <f t="shared" si="88"/>
        <v>2.16</v>
      </c>
      <c r="R74" s="328">
        <f t="shared" si="88"/>
        <v>1.26</v>
      </c>
      <c r="S74" s="328">
        <f t="shared" si="88"/>
        <v>0.9</v>
      </c>
      <c r="T74" s="339">
        <v>0.8</v>
      </c>
      <c r="U74" s="339">
        <v>0.7</v>
      </c>
      <c r="V74" s="367"/>
    </row>
    <row r="75" spans="2:22" ht="15" customHeight="1" x14ac:dyDescent="0.2">
      <c r="B75" s="108"/>
      <c r="C75" s="353"/>
      <c r="D75" s="353"/>
      <c r="E75" s="353"/>
      <c r="F75" s="353"/>
      <c r="G75" s="353"/>
      <c r="H75" s="353"/>
      <c r="I75" s="353"/>
      <c r="L75" s="297">
        <f>(L74+L76)/2</f>
        <v>33.5</v>
      </c>
      <c r="M75" s="328">
        <f>((L68-L75)*M78-(L78-L75)*M68)/((L68-L75)-(L78-L75))</f>
        <v>9.7900000000000009</v>
      </c>
      <c r="N75" s="328">
        <f t="shared" ref="N75:S75" si="89">((M68-M75)*N78-(M78-M75)*N68)/((M68-M75)-(M78-M75))</f>
        <v>6.8800000000000008</v>
      </c>
      <c r="O75" s="328">
        <f t="shared" si="89"/>
        <v>4.910000000000001</v>
      </c>
      <c r="P75" s="328">
        <f t="shared" si="89"/>
        <v>3.5400000000000009</v>
      </c>
      <c r="Q75" s="328">
        <f t="shared" si="89"/>
        <v>2.1700000000000004</v>
      </c>
      <c r="R75" s="328">
        <f t="shared" si="89"/>
        <v>1.2700000000000002</v>
      </c>
      <c r="S75" s="328">
        <f t="shared" si="89"/>
        <v>0.90000000000000013</v>
      </c>
      <c r="T75" s="339">
        <v>0.8</v>
      </c>
      <c r="U75" s="339">
        <v>0.7</v>
      </c>
      <c r="V75" s="367"/>
    </row>
    <row r="76" spans="2:22" ht="15" customHeight="1" x14ac:dyDescent="0.2">
      <c r="B76" s="108"/>
      <c r="C76" s="353"/>
      <c r="D76" s="353"/>
      <c r="E76" s="353"/>
      <c r="F76" s="353"/>
      <c r="G76" s="353"/>
      <c r="H76" s="353"/>
      <c r="I76" s="353"/>
      <c r="L76" s="297">
        <v>34</v>
      </c>
      <c r="M76" s="328">
        <f>((L68-L76)*M78-(L78-L76)*M68)/((L68-L76)-(L78-L76))</f>
        <v>9.86</v>
      </c>
      <c r="N76" s="328">
        <f t="shared" ref="N76:S76" si="90">((M68-M76)*N78-(M78-M76)*N68)/((M68-M76)-(M78-M76))</f>
        <v>6.92</v>
      </c>
      <c r="O76" s="328">
        <f t="shared" si="90"/>
        <v>4.9400000000000004</v>
      </c>
      <c r="P76" s="328">
        <f t="shared" si="90"/>
        <v>3.56</v>
      </c>
      <c r="Q76" s="328">
        <f t="shared" si="90"/>
        <v>2.1800000000000002</v>
      </c>
      <c r="R76" s="328">
        <f t="shared" si="90"/>
        <v>1.28</v>
      </c>
      <c r="S76" s="328">
        <f t="shared" si="90"/>
        <v>0.9</v>
      </c>
      <c r="T76" s="339">
        <v>0.8</v>
      </c>
      <c r="U76" s="339">
        <v>0.7</v>
      </c>
      <c r="V76" s="367"/>
    </row>
    <row r="77" spans="2:22" ht="15" customHeight="1" x14ac:dyDescent="0.2">
      <c r="B77" s="108"/>
      <c r="C77" s="353"/>
      <c r="D77" s="353"/>
      <c r="E77" s="353"/>
      <c r="F77" s="353"/>
      <c r="G77" s="353"/>
      <c r="H77" s="353"/>
      <c r="I77" s="353"/>
      <c r="L77" s="297">
        <f>(L76+L78)/2</f>
        <v>34.5</v>
      </c>
      <c r="M77" s="328">
        <f>((L68-L77)*M78-(L78-L77)*M68)/((L68-L77)-(L78-L77))</f>
        <v>9.93</v>
      </c>
      <c r="N77" s="328">
        <f t="shared" ref="N77:S77" si="91">((M68-M77)*N78-(M78-M77)*N68)/((M68-M77)-(M78-M77))</f>
        <v>6.9599999999999991</v>
      </c>
      <c r="O77" s="328">
        <f t="shared" si="91"/>
        <v>4.97</v>
      </c>
      <c r="P77" s="328">
        <f t="shared" si="91"/>
        <v>3.58</v>
      </c>
      <c r="Q77" s="328">
        <f t="shared" si="91"/>
        <v>2.1900000000000004</v>
      </c>
      <c r="R77" s="328">
        <f t="shared" si="91"/>
        <v>1.2900000000000003</v>
      </c>
      <c r="S77" s="328">
        <f t="shared" si="91"/>
        <v>0.90000000000000013</v>
      </c>
      <c r="T77" s="339">
        <v>0.8</v>
      </c>
      <c r="U77" s="339">
        <v>0.7</v>
      </c>
      <c r="V77" s="367"/>
    </row>
    <row r="78" spans="2:22" ht="15" customHeight="1" x14ac:dyDescent="0.2">
      <c r="B78" s="108"/>
      <c r="C78" s="270"/>
      <c r="D78" s="270"/>
      <c r="E78" s="270"/>
      <c r="F78" s="270"/>
      <c r="G78" s="270"/>
      <c r="H78" s="270"/>
      <c r="I78" s="273"/>
      <c r="L78" s="322">
        <v>35</v>
      </c>
      <c r="M78" s="333">
        <v>10</v>
      </c>
      <c r="N78" s="323">
        <v>7</v>
      </c>
      <c r="O78" s="334">
        <v>5</v>
      </c>
      <c r="P78" s="324">
        <v>3.6</v>
      </c>
      <c r="Q78" s="334">
        <v>2.2000000000000002</v>
      </c>
      <c r="R78" s="334">
        <v>1.3</v>
      </c>
      <c r="S78" s="334">
        <v>0.9</v>
      </c>
      <c r="T78" s="334">
        <v>0.8</v>
      </c>
      <c r="U78" s="334">
        <v>0.7</v>
      </c>
      <c r="V78" s="366"/>
    </row>
    <row r="79" spans="2:22" ht="15" customHeight="1" x14ac:dyDescent="0.2">
      <c r="B79" s="108"/>
      <c r="C79" s="353"/>
      <c r="D79" s="353"/>
      <c r="E79" s="353"/>
      <c r="F79" s="353"/>
      <c r="G79" s="353"/>
      <c r="H79" s="353"/>
      <c r="I79" s="353"/>
      <c r="L79" s="108"/>
      <c r="M79" s="270"/>
      <c r="N79" s="270"/>
      <c r="O79" s="270"/>
      <c r="P79" s="270"/>
      <c r="Q79" s="270"/>
      <c r="R79" s="270"/>
      <c r="S79" s="270"/>
    </row>
    <row r="80" spans="2:22" ht="15" customHeight="1" x14ac:dyDescent="0.2">
      <c r="B80" s="49"/>
      <c r="E80" s="268" t="s">
        <v>376</v>
      </c>
      <c r="L80" s="106"/>
    </row>
    <row r="81" spans="2:22" ht="15" customHeight="1" x14ac:dyDescent="0.2">
      <c r="B81" s="107"/>
      <c r="C81" s="267"/>
      <c r="D81" s="274"/>
      <c r="F81" s="274"/>
      <c r="G81" s="274"/>
      <c r="H81" s="274"/>
      <c r="I81" s="275"/>
      <c r="L81" s="287" t="s">
        <v>388</v>
      </c>
      <c r="M81" s="270"/>
      <c r="N81" s="108"/>
      <c r="O81" s="270"/>
      <c r="P81" s="270"/>
      <c r="Q81" s="270"/>
      <c r="R81" s="270"/>
      <c r="S81" s="270"/>
      <c r="T81" s="270"/>
      <c r="U81" s="270"/>
      <c r="V81" s="366"/>
    </row>
    <row r="82" spans="2:22" ht="15" customHeight="1" x14ac:dyDescent="0.2">
      <c r="B82" s="31" t="s">
        <v>272</v>
      </c>
      <c r="C82" s="276"/>
      <c r="D82" s="270"/>
      <c r="E82" s="270" t="s">
        <v>277</v>
      </c>
      <c r="F82" s="270"/>
      <c r="G82" s="270"/>
      <c r="H82" s="270"/>
      <c r="I82" s="277"/>
      <c r="L82" s="373" t="s">
        <v>123</v>
      </c>
      <c r="M82" s="336" t="s">
        <v>408</v>
      </c>
      <c r="N82" s="270"/>
      <c r="O82" s="270"/>
      <c r="P82" s="270"/>
      <c r="Q82" s="270"/>
      <c r="R82" s="270"/>
      <c r="S82" s="270"/>
      <c r="T82" s="270"/>
      <c r="U82" s="270"/>
      <c r="V82" s="366"/>
    </row>
    <row r="83" spans="2:22" ht="15" customHeight="1" x14ac:dyDescent="0.2">
      <c r="B83" s="31" t="s">
        <v>273</v>
      </c>
      <c r="C83" s="278"/>
      <c r="D83" s="279"/>
      <c r="E83" s="279" t="s">
        <v>404</v>
      </c>
      <c r="F83" s="279"/>
      <c r="G83" s="279"/>
      <c r="H83" s="279"/>
      <c r="I83" s="280"/>
      <c r="L83" s="373"/>
      <c r="M83" s="336" t="s">
        <v>304</v>
      </c>
      <c r="N83" s="270"/>
      <c r="O83" s="270"/>
      <c r="P83" s="270"/>
      <c r="Q83" s="270"/>
      <c r="R83" s="270"/>
      <c r="S83" s="270"/>
      <c r="T83" s="270"/>
      <c r="U83" s="270"/>
      <c r="V83" s="366"/>
    </row>
    <row r="84" spans="2:22" ht="15" customHeight="1" x14ac:dyDescent="0.2">
      <c r="B84" s="31" t="s">
        <v>274</v>
      </c>
      <c r="C84" s="263"/>
      <c r="D84" s="282"/>
      <c r="E84" s="282"/>
      <c r="F84" s="282"/>
      <c r="G84" s="282"/>
      <c r="H84" s="282"/>
      <c r="I84" s="283"/>
      <c r="L84" s="373" t="s">
        <v>124</v>
      </c>
      <c r="M84" s="336" t="s">
        <v>409</v>
      </c>
      <c r="N84" s="273"/>
      <c r="O84" s="273"/>
      <c r="P84" s="273"/>
      <c r="Q84" s="273"/>
      <c r="R84" s="273"/>
      <c r="S84" s="273"/>
    </row>
    <row r="85" spans="2:22" ht="15" customHeight="1" x14ac:dyDescent="0.2">
      <c r="B85" s="31" t="s">
        <v>275</v>
      </c>
      <c r="C85" s="481"/>
      <c r="D85" s="481"/>
      <c r="E85" s="481"/>
      <c r="F85" s="481"/>
      <c r="G85" s="481"/>
      <c r="H85" s="481"/>
      <c r="I85" s="481"/>
      <c r="L85" s="373"/>
      <c r="M85" s="336" t="s">
        <v>305</v>
      </c>
      <c r="N85" s="273"/>
      <c r="O85" s="273"/>
      <c r="P85" s="273"/>
      <c r="Q85" s="273"/>
      <c r="R85" s="273"/>
      <c r="S85" s="273"/>
    </row>
    <row r="86" spans="2:22" ht="15" customHeight="1" x14ac:dyDescent="0.2">
      <c r="B86" s="31" t="s">
        <v>276</v>
      </c>
      <c r="C86" s="482"/>
      <c r="D86" s="482"/>
      <c r="E86" s="482"/>
      <c r="F86" s="482"/>
      <c r="G86" s="482"/>
      <c r="H86" s="482"/>
      <c r="I86" s="482"/>
      <c r="L86" s="373" t="s">
        <v>125</v>
      </c>
      <c r="M86" s="336" t="s">
        <v>410</v>
      </c>
      <c r="N86" s="273"/>
      <c r="O86" s="273"/>
      <c r="P86" s="273"/>
      <c r="Q86" s="273"/>
      <c r="R86" s="273"/>
      <c r="S86" s="273"/>
    </row>
    <row r="87" spans="2:22" ht="15" customHeight="1" x14ac:dyDescent="0.2">
      <c r="B87" s="31" t="s">
        <v>385</v>
      </c>
      <c r="C87" s="263"/>
      <c r="D87" s="282"/>
      <c r="E87" s="282"/>
      <c r="F87" s="282" t="s">
        <v>391</v>
      </c>
      <c r="G87" s="282"/>
      <c r="H87" s="282"/>
      <c r="I87" s="283"/>
      <c r="L87" s="373"/>
      <c r="M87" s="336" t="s">
        <v>306</v>
      </c>
      <c r="N87" s="273"/>
      <c r="O87" s="273"/>
      <c r="P87" s="273"/>
      <c r="Q87" s="273"/>
      <c r="R87" s="273"/>
      <c r="S87" s="273"/>
    </row>
    <row r="88" spans="2:22" ht="15" customHeight="1" thickBot="1" x14ac:dyDescent="0.25">
      <c r="B88" s="35"/>
      <c r="C88" s="340">
        <v>0</v>
      </c>
      <c r="D88" s="340">
        <v>0.1</v>
      </c>
      <c r="E88" s="340">
        <v>0.2</v>
      </c>
      <c r="F88" s="340">
        <v>0.3</v>
      </c>
      <c r="G88" s="340">
        <v>0.4</v>
      </c>
      <c r="H88" s="340">
        <v>0.5</v>
      </c>
      <c r="I88" s="340">
        <v>0.6</v>
      </c>
      <c r="L88" s="373" t="s">
        <v>126</v>
      </c>
      <c r="M88" s="336" t="s">
        <v>411</v>
      </c>
      <c r="N88" s="273"/>
      <c r="O88" s="273"/>
      <c r="P88" s="273"/>
      <c r="Q88" s="273"/>
      <c r="R88" s="273"/>
      <c r="S88" s="273"/>
    </row>
    <row r="89" spans="2:22" ht="15" customHeight="1" thickTop="1" x14ac:dyDescent="0.2">
      <c r="B89" s="310">
        <v>3</v>
      </c>
      <c r="C89" s="325">
        <v>750</v>
      </c>
      <c r="D89" s="326">
        <v>400</v>
      </c>
      <c r="E89" s="326">
        <v>300</v>
      </c>
      <c r="F89" s="326">
        <v>200</v>
      </c>
      <c r="G89" s="326">
        <v>120</v>
      </c>
      <c r="H89" s="326">
        <v>110</v>
      </c>
      <c r="I89" s="326">
        <v>60</v>
      </c>
      <c r="L89" s="373"/>
      <c r="M89" s="336" t="s">
        <v>307</v>
      </c>
      <c r="N89" s="273"/>
      <c r="O89" s="273"/>
      <c r="P89" s="273"/>
      <c r="Q89" s="273"/>
      <c r="R89" s="273"/>
      <c r="S89" s="273"/>
    </row>
    <row r="90" spans="2:22" ht="15" customHeight="1" x14ac:dyDescent="0.2">
      <c r="B90" s="297">
        <f t="shared" ref="B90:I90" si="92">(B89+B91)/2</f>
        <v>3.5</v>
      </c>
      <c r="C90" s="328">
        <f t="shared" si="92"/>
        <v>790</v>
      </c>
      <c r="D90" s="328">
        <f t="shared" si="92"/>
        <v>455</v>
      </c>
      <c r="E90" s="328">
        <f t="shared" si="92"/>
        <v>340</v>
      </c>
      <c r="F90" s="328">
        <f t="shared" si="92"/>
        <v>225</v>
      </c>
      <c r="G90" s="328">
        <f t="shared" si="92"/>
        <v>140</v>
      </c>
      <c r="H90" s="328">
        <f t="shared" si="92"/>
        <v>117.5</v>
      </c>
      <c r="I90" s="328">
        <f t="shared" si="92"/>
        <v>65</v>
      </c>
      <c r="L90" s="337"/>
      <c r="N90" s="273"/>
      <c r="O90" s="273"/>
      <c r="P90" s="273"/>
      <c r="Q90" s="273"/>
      <c r="R90" s="273"/>
      <c r="S90" s="273"/>
    </row>
    <row r="91" spans="2:22" ht="15" customHeight="1" x14ac:dyDescent="0.2">
      <c r="B91" s="311">
        <v>4</v>
      </c>
      <c r="C91" s="325">
        <v>830</v>
      </c>
      <c r="D91" s="326">
        <v>510</v>
      </c>
      <c r="E91" s="326">
        <v>380</v>
      </c>
      <c r="F91" s="326">
        <v>250</v>
      </c>
      <c r="G91" s="326">
        <v>160</v>
      </c>
      <c r="H91" s="326">
        <v>125</v>
      </c>
      <c r="I91" s="326">
        <v>70</v>
      </c>
      <c r="L91" s="287" t="s">
        <v>389</v>
      </c>
      <c r="N91" s="247"/>
      <c r="O91" s="247"/>
      <c r="P91" s="247"/>
      <c r="Q91" s="247"/>
      <c r="R91" s="247"/>
      <c r="S91" s="247"/>
      <c r="T91" s="269"/>
      <c r="U91" s="269"/>
    </row>
    <row r="92" spans="2:22" ht="15" customHeight="1" x14ac:dyDescent="0.2">
      <c r="B92" s="297">
        <f t="shared" ref="B92:I92" si="93">(B91+B93)/2</f>
        <v>4.5</v>
      </c>
      <c r="C92" s="328">
        <f t="shared" si="93"/>
        <v>855</v>
      </c>
      <c r="D92" s="328">
        <f t="shared" si="93"/>
        <v>565</v>
      </c>
      <c r="E92" s="328">
        <f t="shared" si="93"/>
        <v>390</v>
      </c>
      <c r="F92" s="328">
        <f t="shared" si="93"/>
        <v>265</v>
      </c>
      <c r="G92" s="328">
        <f t="shared" si="93"/>
        <v>180</v>
      </c>
      <c r="H92" s="328">
        <f t="shared" si="93"/>
        <v>127.5</v>
      </c>
      <c r="I92" s="328">
        <f t="shared" si="93"/>
        <v>75</v>
      </c>
      <c r="L92" s="139" t="s">
        <v>124</v>
      </c>
      <c r="M92" s="312" t="s">
        <v>390</v>
      </c>
      <c r="N92" s="247"/>
      <c r="O92" s="247"/>
      <c r="P92" s="247"/>
      <c r="Q92" s="247"/>
      <c r="R92" s="247"/>
      <c r="S92" s="247"/>
      <c r="T92" s="269"/>
      <c r="U92" s="269"/>
      <c r="V92" s="368"/>
    </row>
    <row r="93" spans="2:22" ht="15" customHeight="1" x14ac:dyDescent="0.2">
      <c r="B93" s="311">
        <v>5</v>
      </c>
      <c r="C93" s="325">
        <v>880</v>
      </c>
      <c r="D93" s="326">
        <v>620</v>
      </c>
      <c r="E93" s="326">
        <v>400</v>
      </c>
      <c r="F93" s="326">
        <v>280</v>
      </c>
      <c r="G93" s="326">
        <v>200</v>
      </c>
      <c r="H93" s="326">
        <v>130</v>
      </c>
      <c r="I93" s="326">
        <v>80</v>
      </c>
      <c r="L93" s="139"/>
      <c r="M93" s="312" t="s">
        <v>287</v>
      </c>
      <c r="N93" s="247"/>
      <c r="O93" s="247"/>
      <c r="P93" s="247"/>
      <c r="Q93" s="247"/>
      <c r="R93" s="247"/>
      <c r="S93" s="247"/>
      <c r="T93" s="269"/>
      <c r="U93" s="269"/>
      <c r="V93" s="368"/>
    </row>
    <row r="94" spans="2:22" ht="15" customHeight="1" x14ac:dyDescent="0.2">
      <c r="B94" s="297">
        <f>(B93+B95)/2</f>
        <v>5.5</v>
      </c>
      <c r="C94" s="328">
        <f t="shared" ref="C94:I94" si="94">((B93-B94)*C97-(B97-B94)*C93)/((B93-B94)-(B97-B94))</f>
        <v>902.5</v>
      </c>
      <c r="D94" s="328">
        <f t="shared" si="94"/>
        <v>637.5</v>
      </c>
      <c r="E94" s="328">
        <f t="shared" si="94"/>
        <v>407.5</v>
      </c>
      <c r="F94" s="328">
        <f t="shared" si="94"/>
        <v>292.5</v>
      </c>
      <c r="G94" s="328">
        <f t="shared" si="94"/>
        <v>205</v>
      </c>
      <c r="H94" s="328">
        <f t="shared" si="94"/>
        <v>132.5</v>
      </c>
      <c r="I94" s="328">
        <f t="shared" si="94"/>
        <v>81.25</v>
      </c>
      <c r="L94" s="139"/>
      <c r="M94" s="312" t="s">
        <v>285</v>
      </c>
      <c r="N94" s="247"/>
      <c r="O94" s="247"/>
      <c r="P94" s="247"/>
      <c r="Q94" s="247"/>
      <c r="R94" s="247"/>
      <c r="S94" s="247"/>
      <c r="T94" s="269"/>
      <c r="U94" s="269"/>
      <c r="V94" s="369"/>
    </row>
    <row r="95" spans="2:22" ht="15" customHeight="1" x14ac:dyDescent="0.2">
      <c r="B95" s="297">
        <v>6</v>
      </c>
      <c r="C95" s="328">
        <f>((B93-B95)*C97-(B97-B95)*C93)/((B93-B95)-(B97-B95))</f>
        <v>925</v>
      </c>
      <c r="D95" s="328">
        <f t="shared" ref="D95:I95" si="95">((C93-C95)*D97-(C97-C95)*D93)/((C93-C95)-(C97-C95))</f>
        <v>655</v>
      </c>
      <c r="E95" s="328">
        <f t="shared" si="95"/>
        <v>415</v>
      </c>
      <c r="F95" s="328">
        <f t="shared" si="95"/>
        <v>305</v>
      </c>
      <c r="G95" s="328">
        <f t="shared" si="95"/>
        <v>210</v>
      </c>
      <c r="H95" s="328">
        <f t="shared" si="95"/>
        <v>135</v>
      </c>
      <c r="I95" s="328">
        <f t="shared" si="95"/>
        <v>82.5</v>
      </c>
      <c r="L95" s="139"/>
      <c r="M95" s="312" t="s">
        <v>288</v>
      </c>
      <c r="N95" s="247"/>
      <c r="O95" s="247"/>
      <c r="P95" s="247"/>
      <c r="Q95" s="247"/>
      <c r="R95" s="247"/>
      <c r="S95" s="247"/>
      <c r="T95" s="269"/>
      <c r="U95" s="269"/>
      <c r="V95" s="369"/>
    </row>
    <row r="96" spans="2:22" ht="15" customHeight="1" x14ac:dyDescent="0.2">
      <c r="B96" s="297">
        <f>(B95+B97)/2</f>
        <v>6.5</v>
      </c>
      <c r="C96" s="328">
        <f t="shared" ref="C96:I96" si="96">((B93-B96)*C97-(B97-B96)*C93)/((B93-B96)-(B97-B96))</f>
        <v>947.5</v>
      </c>
      <c r="D96" s="328">
        <f t="shared" si="96"/>
        <v>672.5</v>
      </c>
      <c r="E96" s="328">
        <f t="shared" si="96"/>
        <v>422.5</v>
      </c>
      <c r="F96" s="328">
        <f t="shared" si="96"/>
        <v>317.5</v>
      </c>
      <c r="G96" s="328">
        <f t="shared" si="96"/>
        <v>215</v>
      </c>
      <c r="H96" s="328">
        <f t="shared" si="96"/>
        <v>137.5</v>
      </c>
      <c r="I96" s="328">
        <f t="shared" si="96"/>
        <v>83.75</v>
      </c>
      <c r="L96" s="139"/>
      <c r="M96" s="312" t="s">
        <v>286</v>
      </c>
      <c r="N96" s="247"/>
      <c r="O96" s="247"/>
      <c r="P96" s="247"/>
      <c r="Q96" s="247"/>
      <c r="R96" s="247"/>
      <c r="S96" s="247"/>
      <c r="T96" s="269"/>
      <c r="U96" s="269"/>
      <c r="V96" s="369"/>
    </row>
    <row r="97" spans="2:22" ht="15" customHeight="1" x14ac:dyDescent="0.2">
      <c r="B97" s="311">
        <v>7</v>
      </c>
      <c r="C97" s="325">
        <v>970</v>
      </c>
      <c r="D97" s="326">
        <v>690</v>
      </c>
      <c r="E97" s="326">
        <v>430</v>
      </c>
      <c r="F97" s="326">
        <v>330</v>
      </c>
      <c r="G97" s="326">
        <v>220</v>
      </c>
      <c r="H97" s="326">
        <v>140</v>
      </c>
      <c r="I97" s="326">
        <v>85</v>
      </c>
      <c r="L97" s="139"/>
      <c r="M97" s="312" t="s">
        <v>289</v>
      </c>
      <c r="N97" s="247"/>
      <c r="O97" s="247"/>
      <c r="P97" s="247"/>
      <c r="Q97" s="247"/>
      <c r="R97" s="247"/>
      <c r="S97" s="247"/>
      <c r="T97" s="269"/>
      <c r="U97" s="269"/>
    </row>
    <row r="98" spans="2:22" ht="15" customHeight="1" x14ac:dyDescent="0.2">
      <c r="B98" s="297">
        <f>(B97+B99)/2</f>
        <v>7.5</v>
      </c>
      <c r="C98" s="328">
        <f t="shared" ref="C98:I98" si="97">((B97-B98)*C103-(B103-B98)*C97)/((B97-B98)-(B103-B98))</f>
        <v>983.33333333333337</v>
      </c>
      <c r="D98" s="328">
        <f t="shared" si="97"/>
        <v>696.66666666666663</v>
      </c>
      <c r="E98" s="328">
        <f t="shared" si="97"/>
        <v>441.66666666666663</v>
      </c>
      <c r="F98" s="328">
        <f t="shared" si="97"/>
        <v>333.33333333333331</v>
      </c>
      <c r="G98" s="328">
        <f t="shared" si="97"/>
        <v>223.33333333333331</v>
      </c>
      <c r="H98" s="328">
        <f t="shared" si="97"/>
        <v>141.66666666666666</v>
      </c>
      <c r="I98" s="328">
        <f t="shared" si="97"/>
        <v>85.833333333333329</v>
      </c>
      <c r="L98" s="139"/>
      <c r="M98" s="312" t="s">
        <v>290</v>
      </c>
      <c r="N98" s="247"/>
      <c r="O98" s="247"/>
      <c r="P98" s="247"/>
      <c r="Q98" s="247"/>
      <c r="R98" s="247"/>
      <c r="S98" s="247"/>
      <c r="T98" s="269"/>
      <c r="U98" s="269"/>
    </row>
    <row r="99" spans="2:22" ht="15" customHeight="1" x14ac:dyDescent="0.2">
      <c r="B99" s="297">
        <v>8</v>
      </c>
      <c r="C99" s="328">
        <f>((B97-B99)*C103-(B103-B99)*C97)/((B97-B99)-(B103-B99))</f>
        <v>996.66666666666663</v>
      </c>
      <c r="D99" s="328">
        <f t="shared" ref="D99:I99" si="98">((C97-C99)*D103-(C103-C99)*D97)/((C97-C99)-(C103-C99))</f>
        <v>703.33333333333337</v>
      </c>
      <c r="E99" s="328">
        <f t="shared" si="98"/>
        <v>453.33333333333337</v>
      </c>
      <c r="F99" s="328">
        <f t="shared" si="98"/>
        <v>336.66666666666669</v>
      </c>
      <c r="G99" s="328">
        <f t="shared" si="98"/>
        <v>226.66666666666669</v>
      </c>
      <c r="H99" s="328">
        <f t="shared" si="98"/>
        <v>143.33333333333334</v>
      </c>
      <c r="I99" s="328">
        <f t="shared" si="98"/>
        <v>86.666666666666671</v>
      </c>
      <c r="L99" s="139"/>
      <c r="M99" s="312" t="s">
        <v>291</v>
      </c>
      <c r="N99" s="247"/>
      <c r="O99" s="247"/>
      <c r="P99" s="247"/>
      <c r="Q99" s="247"/>
      <c r="R99" s="247"/>
      <c r="S99" s="247"/>
      <c r="T99" s="269"/>
      <c r="U99" s="269"/>
    </row>
    <row r="100" spans="2:22" ht="15" customHeight="1" x14ac:dyDescent="0.2">
      <c r="B100" s="297">
        <f>(B99+B101)/2</f>
        <v>8.5</v>
      </c>
      <c r="C100" s="328">
        <f>((B97-B100)*C103-(B103-B100)*C97)/((B97-B100)-(B103-B100))</f>
        <v>1010</v>
      </c>
      <c r="D100" s="328">
        <f t="shared" ref="D100:I100" si="99">((C97-C100)*D103-(C103-C100)*D97)/((C97-C100)-(C103-C100))</f>
        <v>710</v>
      </c>
      <c r="E100" s="328">
        <f t="shared" si="99"/>
        <v>465</v>
      </c>
      <c r="F100" s="328">
        <f t="shared" si="99"/>
        <v>340</v>
      </c>
      <c r="G100" s="328">
        <f t="shared" si="99"/>
        <v>230</v>
      </c>
      <c r="H100" s="328">
        <f t="shared" si="99"/>
        <v>145</v>
      </c>
      <c r="I100" s="328">
        <f t="shared" si="99"/>
        <v>87.5</v>
      </c>
      <c r="L100" s="139"/>
      <c r="M100" s="312" t="s">
        <v>292</v>
      </c>
      <c r="N100" s="247"/>
      <c r="O100" s="247"/>
      <c r="P100" s="247"/>
      <c r="Q100" s="247"/>
      <c r="R100" s="247"/>
      <c r="S100" s="247"/>
      <c r="T100" s="269"/>
      <c r="U100" s="269"/>
    </row>
    <row r="101" spans="2:22" ht="15" customHeight="1" x14ac:dyDescent="0.2">
      <c r="B101" s="297">
        <v>9</v>
      </c>
      <c r="C101" s="328">
        <f>((B97-B101)*C103-(B103-B101)*C97)/((B97-B101)-(B103-B101))</f>
        <v>1023.3333333333334</v>
      </c>
      <c r="D101" s="328">
        <f t="shared" ref="D101:I101" si="100">((C97-C101)*D103-(C103-C101)*D97)/((C97-C101)-(C103-C101))</f>
        <v>716.66666666666663</v>
      </c>
      <c r="E101" s="328">
        <f t="shared" si="100"/>
        <v>476.66666666666663</v>
      </c>
      <c r="F101" s="328">
        <f t="shared" si="100"/>
        <v>343.33333333333331</v>
      </c>
      <c r="G101" s="328">
        <f t="shared" si="100"/>
        <v>233.33333333333331</v>
      </c>
      <c r="H101" s="328">
        <f t="shared" si="100"/>
        <v>146.66666666666666</v>
      </c>
      <c r="I101" s="328">
        <f t="shared" si="100"/>
        <v>88.333333333333329</v>
      </c>
      <c r="L101" s="139"/>
      <c r="M101" s="312" t="s">
        <v>293</v>
      </c>
      <c r="N101" s="247"/>
      <c r="O101" s="247"/>
      <c r="P101" s="247"/>
      <c r="Q101" s="247"/>
      <c r="R101" s="247"/>
      <c r="S101" s="247"/>
      <c r="T101" s="269"/>
      <c r="U101" s="269"/>
      <c r="V101" s="369"/>
    </row>
    <row r="102" spans="2:22" ht="15" customHeight="1" x14ac:dyDescent="0.2">
      <c r="B102" s="297">
        <f>(B101+B103)/2</f>
        <v>9.5</v>
      </c>
      <c r="C102" s="328">
        <f t="shared" ref="C102:I102" si="101">((B97-B102)*C103-(B103-B102)*C97)/((B97-B102)-(B103-B102))</f>
        <v>1036.6666666666667</v>
      </c>
      <c r="D102" s="328">
        <f t="shared" si="101"/>
        <v>723.33333333333337</v>
      </c>
      <c r="E102" s="328">
        <f t="shared" si="101"/>
        <v>488.33333333333337</v>
      </c>
      <c r="F102" s="328">
        <f t="shared" si="101"/>
        <v>346.66666666666663</v>
      </c>
      <c r="G102" s="328">
        <f t="shared" si="101"/>
        <v>236.6666666666666</v>
      </c>
      <c r="H102" s="328">
        <f t="shared" si="101"/>
        <v>148.33333333333331</v>
      </c>
      <c r="I102" s="328">
        <f t="shared" si="101"/>
        <v>89.166666666666657</v>
      </c>
      <c r="L102" s="139"/>
      <c r="M102" s="312" t="s">
        <v>294</v>
      </c>
      <c r="N102" s="247"/>
      <c r="O102" s="247"/>
      <c r="P102" s="247"/>
      <c r="Q102" s="247"/>
      <c r="R102" s="247"/>
      <c r="S102" s="247"/>
      <c r="T102" s="269"/>
      <c r="U102" s="269"/>
      <c r="V102" s="369"/>
    </row>
    <row r="103" spans="2:22" ht="15" customHeight="1" x14ac:dyDescent="0.2">
      <c r="B103" s="311">
        <v>10</v>
      </c>
      <c r="C103" s="325">
        <v>1050</v>
      </c>
      <c r="D103" s="326">
        <v>730</v>
      </c>
      <c r="E103" s="326">
        <v>500</v>
      </c>
      <c r="F103" s="326">
        <v>350</v>
      </c>
      <c r="G103" s="326">
        <v>240</v>
      </c>
      <c r="H103" s="326">
        <v>150</v>
      </c>
      <c r="I103" s="326">
        <v>90</v>
      </c>
      <c r="L103" s="139"/>
      <c r="M103" s="312" t="s">
        <v>295</v>
      </c>
      <c r="N103" s="247"/>
      <c r="O103" s="247"/>
      <c r="P103" s="247"/>
      <c r="Q103" s="247"/>
      <c r="R103" s="247"/>
      <c r="S103" s="247"/>
      <c r="T103" s="269"/>
      <c r="U103" s="269"/>
      <c r="V103" s="369"/>
    </row>
    <row r="104" spans="2:22" ht="15" customHeight="1" x14ac:dyDescent="0.2">
      <c r="B104" s="297">
        <f>(B103+B105)/2</f>
        <v>10.5</v>
      </c>
      <c r="C104" s="328">
        <f t="shared" ref="C104:I104" si="102">((B103-B104)*C113-(B113-B104)*C103)/((B103-B104)-(B113-B104))</f>
        <v>1062</v>
      </c>
      <c r="D104" s="328">
        <f t="shared" si="102"/>
        <v>732</v>
      </c>
      <c r="E104" s="328">
        <f t="shared" si="102"/>
        <v>506</v>
      </c>
      <c r="F104" s="328">
        <f t="shared" si="102"/>
        <v>355</v>
      </c>
      <c r="G104" s="328">
        <f t="shared" si="102"/>
        <v>245</v>
      </c>
      <c r="H104" s="328">
        <f t="shared" si="102"/>
        <v>151.5</v>
      </c>
      <c r="I104" s="328">
        <f t="shared" si="102"/>
        <v>91</v>
      </c>
      <c r="L104" s="139" t="s">
        <v>125</v>
      </c>
      <c r="M104" s="312" t="s">
        <v>358</v>
      </c>
      <c r="N104" s="247"/>
      <c r="O104" s="247"/>
      <c r="P104" s="247"/>
      <c r="Q104" s="247"/>
      <c r="R104" s="247"/>
      <c r="S104" s="247"/>
      <c r="T104" s="269"/>
      <c r="U104" s="269"/>
      <c r="V104" s="369"/>
    </row>
    <row r="105" spans="2:22" ht="15" customHeight="1" x14ac:dyDescent="0.2">
      <c r="B105" s="297">
        <v>11</v>
      </c>
      <c r="C105" s="328">
        <f>((B103-B105)*C113-(B113-B105)*C103)/((B103-B105)-(B113-B105))</f>
        <v>1074</v>
      </c>
      <c r="D105" s="328">
        <f t="shared" ref="D105:I105" si="103">((C103-C105)*D113-(C113-C105)*D103)/((C103-C105)-(C113-C105))</f>
        <v>734</v>
      </c>
      <c r="E105" s="328">
        <f t="shared" si="103"/>
        <v>512</v>
      </c>
      <c r="F105" s="328">
        <f t="shared" si="103"/>
        <v>360</v>
      </c>
      <c r="G105" s="328">
        <f t="shared" si="103"/>
        <v>250</v>
      </c>
      <c r="H105" s="328">
        <f t="shared" si="103"/>
        <v>153</v>
      </c>
      <c r="I105" s="328">
        <f t="shared" si="103"/>
        <v>92</v>
      </c>
      <c r="L105" s="139"/>
      <c r="M105" s="312" t="s">
        <v>296</v>
      </c>
      <c r="N105" s="247"/>
      <c r="O105" s="247"/>
      <c r="P105" s="247"/>
      <c r="Q105" s="247"/>
      <c r="R105" s="247"/>
      <c r="S105" s="247"/>
      <c r="T105" s="269"/>
      <c r="U105" s="269"/>
      <c r="V105" s="369"/>
    </row>
    <row r="106" spans="2:22" ht="15" customHeight="1" x14ac:dyDescent="0.2">
      <c r="B106" s="297">
        <f>(B105+B107)/2</f>
        <v>11.5</v>
      </c>
      <c r="C106" s="328">
        <f>((B103-B106)*C113-(B113-B106)*C103)/((B103-B106)-(B113-B106))</f>
        <v>1086</v>
      </c>
      <c r="D106" s="328">
        <f t="shared" ref="D106:I106" si="104">((C103-C106)*D113-(C113-C106)*D103)/((C103-C106)-(C113-C106))</f>
        <v>736</v>
      </c>
      <c r="E106" s="328">
        <f t="shared" si="104"/>
        <v>518</v>
      </c>
      <c r="F106" s="328">
        <f t="shared" si="104"/>
        <v>365</v>
      </c>
      <c r="G106" s="328">
        <f t="shared" si="104"/>
        <v>255</v>
      </c>
      <c r="H106" s="328">
        <f t="shared" si="104"/>
        <v>154.5</v>
      </c>
      <c r="I106" s="328">
        <f t="shared" si="104"/>
        <v>93</v>
      </c>
      <c r="L106" s="139" t="s">
        <v>126</v>
      </c>
      <c r="M106" s="312" t="s">
        <v>359</v>
      </c>
      <c r="N106" s="247"/>
      <c r="O106" s="247"/>
      <c r="P106" s="247"/>
      <c r="Q106" s="247"/>
      <c r="R106" s="247"/>
      <c r="S106" s="247"/>
      <c r="T106" s="269"/>
      <c r="U106" s="269"/>
      <c r="V106" s="369"/>
    </row>
    <row r="107" spans="2:22" ht="15" customHeight="1" x14ac:dyDescent="0.2">
      <c r="B107" s="297">
        <v>12</v>
      </c>
      <c r="C107" s="328">
        <f>((B103-B107)*C113-(B113-B107)*C103)/((B103-B107)-(B113-B107))</f>
        <v>1098</v>
      </c>
      <c r="D107" s="328">
        <f t="shared" ref="D107:I107" si="105">((C103-C107)*D113-(C113-C107)*D103)/((C103-C107)-(C113-C107))</f>
        <v>738</v>
      </c>
      <c r="E107" s="328">
        <f t="shared" si="105"/>
        <v>524</v>
      </c>
      <c r="F107" s="328">
        <f t="shared" si="105"/>
        <v>370</v>
      </c>
      <c r="G107" s="328">
        <f t="shared" si="105"/>
        <v>260</v>
      </c>
      <c r="H107" s="328">
        <f t="shared" si="105"/>
        <v>156</v>
      </c>
      <c r="I107" s="328">
        <f t="shared" si="105"/>
        <v>94</v>
      </c>
      <c r="L107" s="139"/>
      <c r="M107" s="312" t="s">
        <v>297</v>
      </c>
      <c r="N107" s="247"/>
      <c r="O107" s="247"/>
      <c r="P107" s="247"/>
      <c r="Q107" s="247"/>
      <c r="R107" s="247"/>
      <c r="S107" s="247"/>
      <c r="T107" s="269"/>
      <c r="U107" s="269"/>
    </row>
    <row r="108" spans="2:22" ht="15" customHeight="1" x14ac:dyDescent="0.2">
      <c r="B108" s="297">
        <f>(B107+B109)/2</f>
        <v>12.5</v>
      </c>
      <c r="C108" s="328">
        <f>((B103-B108)*C113-(B113-B108)*C103)/((B103-B108)-(B113-B108))</f>
        <v>1110</v>
      </c>
      <c r="D108" s="328">
        <f t="shared" ref="D108:I108" si="106">((C103-C108)*D113-(C113-C108)*D103)/((C103-C108)-(C113-C108))</f>
        <v>740</v>
      </c>
      <c r="E108" s="328">
        <f t="shared" si="106"/>
        <v>530</v>
      </c>
      <c r="F108" s="328">
        <f t="shared" si="106"/>
        <v>375</v>
      </c>
      <c r="G108" s="328">
        <f t="shared" si="106"/>
        <v>265</v>
      </c>
      <c r="H108" s="328">
        <f t="shared" si="106"/>
        <v>157.5</v>
      </c>
      <c r="I108" s="328">
        <f t="shared" si="106"/>
        <v>95</v>
      </c>
      <c r="L108" s="139"/>
      <c r="M108" s="312" t="s">
        <v>298</v>
      </c>
      <c r="N108" s="247"/>
      <c r="O108" s="247"/>
      <c r="P108" s="247"/>
      <c r="Q108" s="247"/>
      <c r="R108" s="247"/>
      <c r="S108" s="247"/>
      <c r="T108" s="269"/>
      <c r="U108" s="269"/>
    </row>
    <row r="109" spans="2:22" ht="15" customHeight="1" x14ac:dyDescent="0.2">
      <c r="B109" s="297">
        <v>13</v>
      </c>
      <c r="C109" s="328">
        <f>((B103-B109)*C113-(B113-B109)*C103)/((B103-B109)-(B113-B109))</f>
        <v>1122</v>
      </c>
      <c r="D109" s="328">
        <f t="shared" ref="D109:I109" si="107">((C103-C109)*D113-(C113-C109)*D103)/((C103-C109)-(C113-C109))</f>
        <v>742</v>
      </c>
      <c r="E109" s="328">
        <f t="shared" si="107"/>
        <v>536</v>
      </c>
      <c r="F109" s="328">
        <f t="shared" si="107"/>
        <v>380</v>
      </c>
      <c r="G109" s="328">
        <f t="shared" si="107"/>
        <v>270</v>
      </c>
      <c r="H109" s="328">
        <f t="shared" si="107"/>
        <v>159</v>
      </c>
      <c r="I109" s="328">
        <f t="shared" si="107"/>
        <v>96</v>
      </c>
      <c r="L109" s="139"/>
      <c r="M109" s="312" t="s">
        <v>299</v>
      </c>
      <c r="N109" s="247"/>
      <c r="O109" s="247"/>
      <c r="P109" s="247"/>
      <c r="Q109" s="247"/>
      <c r="R109" s="247"/>
      <c r="S109" s="247"/>
      <c r="T109" s="269"/>
      <c r="U109" s="269"/>
    </row>
    <row r="110" spans="2:22" ht="15" customHeight="1" x14ac:dyDescent="0.2">
      <c r="B110" s="297">
        <f>(B109+B111)/2</f>
        <v>13.5</v>
      </c>
      <c r="C110" s="328">
        <f>((B103-B110)*C113-(B113-B110)*C103)/((B103-B110)-(B113-B110))</f>
        <v>1134</v>
      </c>
      <c r="D110" s="328">
        <f t="shared" ref="D110:I110" si="108">((C103-C110)*D113-(C113-C110)*D103)/((C103-C110)-(C113-C110))</f>
        <v>744</v>
      </c>
      <c r="E110" s="328">
        <f t="shared" si="108"/>
        <v>542</v>
      </c>
      <c r="F110" s="328">
        <f t="shared" si="108"/>
        <v>385</v>
      </c>
      <c r="G110" s="328">
        <f t="shared" si="108"/>
        <v>275</v>
      </c>
      <c r="H110" s="328">
        <f t="shared" si="108"/>
        <v>160.5</v>
      </c>
      <c r="I110" s="328">
        <f t="shared" si="108"/>
        <v>97</v>
      </c>
      <c r="L110" s="139"/>
      <c r="M110" s="312" t="s">
        <v>386</v>
      </c>
      <c r="N110" s="247"/>
      <c r="O110" s="247"/>
      <c r="P110" s="247"/>
      <c r="Q110" s="247"/>
      <c r="R110" s="247"/>
      <c r="S110" s="247"/>
      <c r="T110" s="269"/>
      <c r="U110" s="269"/>
    </row>
    <row r="111" spans="2:22" ht="15" customHeight="1" x14ac:dyDescent="0.2">
      <c r="B111" s="297">
        <v>14</v>
      </c>
      <c r="C111" s="328">
        <f>((B103-B111)*C113-(B113-B111)*C103)/((B103-B111)-(B113-B111))</f>
        <v>1146</v>
      </c>
      <c r="D111" s="328">
        <f t="shared" ref="D111:I111" si="109">((C103-C111)*D113-(C113-C111)*D103)/((C103-C111)-(C113-C111))</f>
        <v>746</v>
      </c>
      <c r="E111" s="328">
        <f t="shared" si="109"/>
        <v>548</v>
      </c>
      <c r="F111" s="328">
        <f t="shared" si="109"/>
        <v>390</v>
      </c>
      <c r="G111" s="328">
        <f t="shared" si="109"/>
        <v>280</v>
      </c>
      <c r="H111" s="328">
        <f t="shared" si="109"/>
        <v>162</v>
      </c>
      <c r="I111" s="328">
        <f t="shared" si="109"/>
        <v>98</v>
      </c>
      <c r="L111" s="139" t="s">
        <v>127</v>
      </c>
      <c r="M111" s="312" t="s">
        <v>360</v>
      </c>
      <c r="N111" s="247"/>
      <c r="O111" s="247"/>
      <c r="P111" s="247"/>
      <c r="Q111" s="247"/>
      <c r="R111" s="247"/>
      <c r="S111" s="247"/>
      <c r="T111" s="269"/>
      <c r="U111" s="269"/>
    </row>
    <row r="112" spans="2:22" ht="15" customHeight="1" x14ac:dyDescent="0.2">
      <c r="B112" s="297">
        <f>(B111+B113)/2</f>
        <v>14.5</v>
      </c>
      <c r="C112" s="328">
        <f t="shared" ref="C112:I112" si="110">((B103-B112)*C113-(B113-B112)*C103)/((B103-B112)-(B113-B112))</f>
        <v>1158</v>
      </c>
      <c r="D112" s="328">
        <f t="shared" si="110"/>
        <v>748</v>
      </c>
      <c r="E112" s="328">
        <f t="shared" si="110"/>
        <v>554</v>
      </c>
      <c r="F112" s="328">
        <f t="shared" si="110"/>
        <v>395</v>
      </c>
      <c r="G112" s="328">
        <f t="shared" si="110"/>
        <v>285</v>
      </c>
      <c r="H112" s="328">
        <f t="shared" si="110"/>
        <v>163.5</v>
      </c>
      <c r="I112" s="328">
        <f t="shared" si="110"/>
        <v>99</v>
      </c>
      <c r="L112" s="139"/>
      <c r="M112" s="312" t="s">
        <v>300</v>
      </c>
      <c r="N112" s="247"/>
      <c r="O112" s="247"/>
      <c r="P112" s="247"/>
      <c r="Q112" s="247"/>
      <c r="R112" s="247"/>
      <c r="S112" s="247"/>
      <c r="T112" s="269"/>
      <c r="U112" s="269"/>
    </row>
    <row r="113" spans="2:21" ht="15" customHeight="1" x14ac:dyDescent="0.2">
      <c r="B113" s="311">
        <v>15</v>
      </c>
      <c r="C113" s="325">
        <v>1170</v>
      </c>
      <c r="D113" s="326">
        <v>750</v>
      </c>
      <c r="E113" s="326">
        <v>560</v>
      </c>
      <c r="F113" s="326">
        <v>400</v>
      </c>
      <c r="G113" s="326">
        <v>290</v>
      </c>
      <c r="H113" s="326">
        <v>165</v>
      </c>
      <c r="I113" s="326">
        <v>100</v>
      </c>
      <c r="L113" s="139"/>
      <c r="M113" s="312" t="s">
        <v>301</v>
      </c>
      <c r="N113" s="247"/>
      <c r="O113" s="247"/>
      <c r="P113" s="247"/>
      <c r="Q113" s="247"/>
      <c r="R113" s="247"/>
      <c r="S113" s="247"/>
      <c r="T113" s="269"/>
      <c r="U113" s="269"/>
    </row>
    <row r="114" spans="2:21" ht="15" customHeight="1" x14ac:dyDescent="0.2">
      <c r="B114" s="297">
        <f>(B113+B115)/2</f>
        <v>15.5</v>
      </c>
      <c r="C114" s="328">
        <f t="shared" ref="C114:I114" si="111">((B113-B114)*C123-(B123-B114)*C113)/((B113-B114)-(B123-B114))</f>
        <v>1179</v>
      </c>
      <c r="D114" s="328">
        <f t="shared" si="111"/>
        <v>760</v>
      </c>
      <c r="E114" s="328">
        <f t="shared" si="111"/>
        <v>566</v>
      </c>
      <c r="F114" s="328">
        <f t="shared" si="111"/>
        <v>405</v>
      </c>
      <c r="G114" s="328">
        <f t="shared" si="111"/>
        <v>293</v>
      </c>
      <c r="H114" s="328">
        <f t="shared" si="111"/>
        <v>166.5</v>
      </c>
      <c r="I114" s="328">
        <f t="shared" si="111"/>
        <v>101</v>
      </c>
      <c r="L114" s="139"/>
      <c r="M114" s="312" t="s">
        <v>302</v>
      </c>
      <c r="N114" s="247"/>
      <c r="O114" s="247"/>
      <c r="P114" s="247"/>
      <c r="Q114" s="247"/>
      <c r="R114" s="247"/>
      <c r="S114" s="247"/>
      <c r="T114" s="269"/>
      <c r="U114" s="269"/>
    </row>
    <row r="115" spans="2:21" ht="15" customHeight="1" x14ac:dyDescent="0.2">
      <c r="B115" s="297">
        <v>16</v>
      </c>
      <c r="C115" s="328">
        <f>((B113-B115)*C123-(B123-B115)*C113)/((B113-B115)-(B123-B115))</f>
        <v>1188</v>
      </c>
      <c r="D115" s="328">
        <f t="shared" ref="D115:I115" si="112">((C113-C115)*D123-(C123-C115)*D113)/((C113-C115)-(C123-C115))</f>
        <v>770</v>
      </c>
      <c r="E115" s="328">
        <f t="shared" si="112"/>
        <v>572</v>
      </c>
      <c r="F115" s="328">
        <f t="shared" si="112"/>
        <v>410</v>
      </c>
      <c r="G115" s="328">
        <f t="shared" si="112"/>
        <v>296</v>
      </c>
      <c r="H115" s="328">
        <f t="shared" si="112"/>
        <v>168</v>
      </c>
      <c r="I115" s="328">
        <f t="shared" si="112"/>
        <v>102</v>
      </c>
      <c r="L115" s="139" t="s">
        <v>122</v>
      </c>
      <c r="M115" s="312" t="s">
        <v>361</v>
      </c>
      <c r="N115" s="247"/>
      <c r="O115" s="247"/>
      <c r="P115" s="247"/>
      <c r="Q115" s="247"/>
      <c r="R115" s="247"/>
      <c r="S115" s="247"/>
      <c r="T115" s="269"/>
      <c r="U115" s="269"/>
    </row>
    <row r="116" spans="2:21" ht="15" customHeight="1" x14ac:dyDescent="0.2">
      <c r="B116" s="297">
        <f>(B115+B117)/2</f>
        <v>16.5</v>
      </c>
      <c r="C116" s="328">
        <f>((B113-B116)*C123-(B123-B116)*C113)/((B113-B116)-(B123-B116))</f>
        <v>1197</v>
      </c>
      <c r="D116" s="328">
        <f t="shared" ref="D116:I116" si="113">((C113-C116)*D123-(C123-C116)*D113)/((C113-C116)-(C123-C116))</f>
        <v>780</v>
      </c>
      <c r="E116" s="328">
        <f t="shared" si="113"/>
        <v>578</v>
      </c>
      <c r="F116" s="328">
        <f t="shared" si="113"/>
        <v>415</v>
      </c>
      <c r="G116" s="328">
        <f t="shared" si="113"/>
        <v>299</v>
      </c>
      <c r="H116" s="328">
        <f t="shared" si="113"/>
        <v>169.5</v>
      </c>
      <c r="I116" s="328">
        <f t="shared" si="113"/>
        <v>103</v>
      </c>
      <c r="L116" s="139"/>
      <c r="M116" s="312" t="s">
        <v>303</v>
      </c>
      <c r="N116" s="247"/>
      <c r="O116" s="247"/>
      <c r="P116" s="247"/>
      <c r="Q116" s="247"/>
      <c r="R116" s="247"/>
      <c r="S116" s="247"/>
      <c r="T116" s="269"/>
      <c r="U116" s="269"/>
    </row>
    <row r="117" spans="2:21" ht="15" customHeight="1" x14ac:dyDescent="0.2">
      <c r="B117" s="297">
        <v>17</v>
      </c>
      <c r="C117" s="328">
        <f>((B113-B117)*C123-(B123-B117)*C113)/((B113-B117)-(B123-B117))</f>
        <v>1206</v>
      </c>
      <c r="D117" s="328">
        <f t="shared" ref="D117:I117" si="114">((C113-C117)*D123-(C123-C117)*D113)/((C113-C117)-(C123-C117))</f>
        <v>790</v>
      </c>
      <c r="E117" s="328">
        <f t="shared" si="114"/>
        <v>584</v>
      </c>
      <c r="F117" s="328">
        <f t="shared" si="114"/>
        <v>420</v>
      </c>
      <c r="G117" s="328">
        <f t="shared" si="114"/>
        <v>302</v>
      </c>
      <c r="H117" s="328">
        <f t="shared" si="114"/>
        <v>171</v>
      </c>
      <c r="I117" s="328">
        <f t="shared" si="114"/>
        <v>104</v>
      </c>
      <c r="L117" s="139" t="s">
        <v>128</v>
      </c>
      <c r="M117" s="312" t="s">
        <v>362</v>
      </c>
      <c r="N117" s="247"/>
      <c r="O117" s="247"/>
      <c r="P117" s="247"/>
      <c r="Q117" s="247"/>
      <c r="R117" s="247"/>
      <c r="S117" s="247"/>
      <c r="T117" s="269"/>
      <c r="U117" s="269"/>
    </row>
    <row r="118" spans="2:21" ht="15" customHeight="1" x14ac:dyDescent="0.2">
      <c r="B118" s="297">
        <f>(B117+B119)/2</f>
        <v>17.5</v>
      </c>
      <c r="C118" s="328">
        <f>((B113-B118)*C123-(B123-B118)*C113)/((B113-B118)-(B123-B118))</f>
        <v>1215</v>
      </c>
      <c r="D118" s="328">
        <f t="shared" ref="D118:I118" si="115">((C113-C118)*D123-(C123-C118)*D113)/((C113-C118)-(C123-C118))</f>
        <v>800</v>
      </c>
      <c r="E118" s="328">
        <f t="shared" si="115"/>
        <v>590</v>
      </c>
      <c r="F118" s="328">
        <f t="shared" si="115"/>
        <v>425</v>
      </c>
      <c r="G118" s="328">
        <f t="shared" si="115"/>
        <v>305</v>
      </c>
      <c r="H118" s="328">
        <f t="shared" si="115"/>
        <v>172.5</v>
      </c>
      <c r="I118" s="328">
        <f t="shared" si="115"/>
        <v>105</v>
      </c>
      <c r="L118" s="247"/>
      <c r="M118" s="312" t="s">
        <v>387</v>
      </c>
      <c r="N118" s="247"/>
      <c r="O118" s="247"/>
      <c r="P118" s="247"/>
      <c r="Q118" s="247"/>
      <c r="R118" s="247"/>
      <c r="S118" s="247"/>
      <c r="T118" s="269"/>
      <c r="U118" s="269"/>
    </row>
    <row r="119" spans="2:21" ht="15" customHeight="1" x14ac:dyDescent="0.2">
      <c r="B119" s="297">
        <v>18</v>
      </c>
      <c r="C119" s="328">
        <f>((B113-B119)*C123-(B123-B119)*C113)/((B113-B119)-(B123-B119))</f>
        <v>1224</v>
      </c>
      <c r="D119" s="328">
        <f t="shared" ref="D119:I119" si="116">((C113-C119)*D123-(C123-C119)*D113)/((C113-C119)-(C123-C119))</f>
        <v>810</v>
      </c>
      <c r="E119" s="328">
        <f t="shared" si="116"/>
        <v>596</v>
      </c>
      <c r="F119" s="328">
        <f t="shared" si="116"/>
        <v>430</v>
      </c>
      <c r="G119" s="328">
        <f t="shared" si="116"/>
        <v>308</v>
      </c>
      <c r="H119" s="328">
        <f t="shared" si="116"/>
        <v>174</v>
      </c>
      <c r="I119" s="328">
        <f t="shared" si="116"/>
        <v>106</v>
      </c>
    </row>
    <row r="120" spans="2:21" ht="15" customHeight="1" x14ac:dyDescent="0.2">
      <c r="B120" s="297">
        <f>(B119+B121)/2</f>
        <v>18.5</v>
      </c>
      <c r="C120" s="328">
        <f>((B113-B120)*C123-(B123-B120)*C113)/((B113-B120)-(B123-B120))</f>
        <v>1233</v>
      </c>
      <c r="D120" s="328">
        <f t="shared" ref="D120:I120" si="117">((C113-C120)*D123-(C123-C120)*D113)/((C113-C120)-(C123-C120))</f>
        <v>820</v>
      </c>
      <c r="E120" s="328">
        <f t="shared" si="117"/>
        <v>602</v>
      </c>
      <c r="F120" s="328">
        <f t="shared" si="117"/>
        <v>435</v>
      </c>
      <c r="G120" s="328">
        <f t="shared" si="117"/>
        <v>311</v>
      </c>
      <c r="H120" s="328">
        <f t="shared" si="117"/>
        <v>175.5</v>
      </c>
      <c r="I120" s="328">
        <f t="shared" si="117"/>
        <v>107</v>
      </c>
      <c r="L120" s="374" t="s">
        <v>0</v>
      </c>
    </row>
    <row r="121" spans="2:21" ht="15" customHeight="1" x14ac:dyDescent="0.2">
      <c r="B121" s="297">
        <v>19</v>
      </c>
      <c r="C121" s="328">
        <f>((B113-B121)*C123-(B123-B121)*C113)/((B113-B121)-(B123-B121))</f>
        <v>1242</v>
      </c>
      <c r="D121" s="328">
        <f t="shared" ref="D121:I121" si="118">((C113-C121)*D123-(C123-C121)*D113)/((C113-C121)-(C123-C121))</f>
        <v>830</v>
      </c>
      <c r="E121" s="328">
        <f t="shared" si="118"/>
        <v>608</v>
      </c>
      <c r="F121" s="328">
        <f t="shared" si="118"/>
        <v>440</v>
      </c>
      <c r="G121" s="328">
        <f t="shared" si="118"/>
        <v>314</v>
      </c>
      <c r="H121" s="328">
        <f t="shared" si="118"/>
        <v>177</v>
      </c>
      <c r="I121" s="328">
        <f t="shared" si="118"/>
        <v>108</v>
      </c>
      <c r="L121" s="373" t="s">
        <v>308</v>
      </c>
      <c r="M121" s="487" t="s">
        <v>349</v>
      </c>
      <c r="N121" s="488"/>
      <c r="O121" s="488"/>
      <c r="P121" s="488"/>
      <c r="Q121" s="488"/>
      <c r="R121" s="488"/>
      <c r="S121" s="488"/>
      <c r="T121" s="488"/>
      <c r="U121" s="295"/>
    </row>
    <row r="122" spans="2:21" ht="15" customHeight="1" x14ac:dyDescent="0.2">
      <c r="B122" s="297">
        <f>(B121+B123)/2</f>
        <v>19.5</v>
      </c>
      <c r="C122" s="328">
        <f t="shared" ref="C122:I122" si="119">((B113-B122)*C123-(B123-B122)*C113)/((B113-B122)-(B123-B122))</f>
        <v>1251</v>
      </c>
      <c r="D122" s="328">
        <f t="shared" si="119"/>
        <v>840</v>
      </c>
      <c r="E122" s="328">
        <f t="shared" si="119"/>
        <v>614</v>
      </c>
      <c r="F122" s="328">
        <f t="shared" si="119"/>
        <v>445</v>
      </c>
      <c r="G122" s="328">
        <f t="shared" si="119"/>
        <v>317</v>
      </c>
      <c r="H122" s="328">
        <f t="shared" si="119"/>
        <v>178.5</v>
      </c>
      <c r="I122" s="328">
        <f t="shared" si="119"/>
        <v>109</v>
      </c>
      <c r="L122" s="373"/>
      <c r="M122" s="488"/>
      <c r="N122" s="488"/>
      <c r="O122" s="488"/>
      <c r="P122" s="488"/>
      <c r="Q122" s="488"/>
      <c r="R122" s="488"/>
      <c r="S122" s="488"/>
      <c r="T122" s="488"/>
      <c r="U122" s="295"/>
    </row>
    <row r="123" spans="2:21" ht="15" customHeight="1" x14ac:dyDescent="0.2">
      <c r="B123" s="311">
        <v>20</v>
      </c>
      <c r="C123" s="325">
        <v>1260</v>
      </c>
      <c r="D123" s="326">
        <v>850</v>
      </c>
      <c r="E123" s="326">
        <v>620</v>
      </c>
      <c r="F123" s="326">
        <v>450</v>
      </c>
      <c r="G123" s="326">
        <v>320</v>
      </c>
      <c r="H123" s="326">
        <v>180</v>
      </c>
      <c r="I123" s="326">
        <v>110</v>
      </c>
      <c r="L123" s="373" t="s">
        <v>350</v>
      </c>
      <c r="M123" s="539" t="s">
        <v>351</v>
      </c>
      <c r="N123" s="488"/>
      <c r="O123" s="488"/>
      <c r="P123" s="488"/>
      <c r="Q123" s="488"/>
      <c r="R123" s="488"/>
      <c r="S123" s="488"/>
      <c r="T123" s="488"/>
      <c r="U123" s="488"/>
    </row>
    <row r="124" spans="2:21" ht="15" customHeight="1" x14ac:dyDescent="0.2">
      <c r="B124" s="297">
        <f>(B123+B125)/2</f>
        <v>20.5</v>
      </c>
      <c r="C124" s="328">
        <f t="shared" ref="C124:I124" si="120">((B123-B124)*C133-(B133-B124)*C123)/((B123-B124)-(B133-B124))</f>
        <v>1268</v>
      </c>
      <c r="D124" s="328">
        <f t="shared" si="120"/>
        <v>855</v>
      </c>
      <c r="E124" s="328">
        <f t="shared" si="120"/>
        <v>626</v>
      </c>
      <c r="F124" s="328">
        <f t="shared" si="120"/>
        <v>457</v>
      </c>
      <c r="G124" s="328">
        <f t="shared" si="120"/>
        <v>323</v>
      </c>
      <c r="H124" s="328">
        <f t="shared" si="120"/>
        <v>181.5</v>
      </c>
      <c r="I124" s="328">
        <f t="shared" si="120"/>
        <v>111</v>
      </c>
      <c r="L124" s="373"/>
      <c r="M124" s="488"/>
      <c r="N124" s="488"/>
      <c r="O124" s="488"/>
      <c r="P124" s="488"/>
      <c r="Q124" s="488"/>
      <c r="R124" s="488"/>
      <c r="S124" s="488"/>
      <c r="T124" s="488"/>
      <c r="U124" s="488"/>
    </row>
    <row r="125" spans="2:21" ht="15" customHeight="1" x14ac:dyDescent="0.2">
      <c r="B125" s="297">
        <v>21</v>
      </c>
      <c r="C125" s="328">
        <f>((B123-B125)*C133-(B133-B125)*C123)/((B123-B125)-(B133-B125))</f>
        <v>1276</v>
      </c>
      <c r="D125" s="328">
        <f t="shared" ref="D125:I125" si="121">((C123-C125)*D133-(C133-C125)*D123)/((C123-C125)-(C133-C125))</f>
        <v>860</v>
      </c>
      <c r="E125" s="328">
        <f t="shared" si="121"/>
        <v>632</v>
      </c>
      <c r="F125" s="328">
        <f t="shared" si="121"/>
        <v>464</v>
      </c>
      <c r="G125" s="328">
        <f t="shared" si="121"/>
        <v>326</v>
      </c>
      <c r="H125" s="328">
        <f t="shared" si="121"/>
        <v>183</v>
      </c>
      <c r="I125" s="328">
        <f t="shared" si="121"/>
        <v>112</v>
      </c>
      <c r="L125" s="373"/>
      <c r="M125" s="488"/>
      <c r="N125" s="488"/>
      <c r="O125" s="488"/>
      <c r="P125" s="488"/>
      <c r="Q125" s="488"/>
      <c r="R125" s="488"/>
      <c r="S125" s="488"/>
      <c r="T125" s="488"/>
      <c r="U125" s="488"/>
    </row>
    <row r="126" spans="2:21" ht="15" customHeight="1" x14ac:dyDescent="0.2">
      <c r="B126" s="297">
        <f>(B125+B127)/2</f>
        <v>21.5</v>
      </c>
      <c r="C126" s="328">
        <f>((B123-B126)*C133-(B133-B126)*C123)/((B123-B126)-(B133-B126))</f>
        <v>1284</v>
      </c>
      <c r="D126" s="328">
        <f t="shared" ref="D126:I126" si="122">((C123-C126)*D133-(C133-C126)*D123)/((C123-C126)-(C133-C126))</f>
        <v>865</v>
      </c>
      <c r="E126" s="328">
        <f t="shared" si="122"/>
        <v>638</v>
      </c>
      <c r="F126" s="328">
        <f t="shared" si="122"/>
        <v>471</v>
      </c>
      <c r="G126" s="328">
        <f t="shared" si="122"/>
        <v>329</v>
      </c>
      <c r="H126" s="328">
        <f t="shared" si="122"/>
        <v>184.5</v>
      </c>
      <c r="I126" s="328">
        <f t="shared" si="122"/>
        <v>113</v>
      </c>
      <c r="L126" s="373"/>
      <c r="M126" s="487" t="s">
        <v>352</v>
      </c>
      <c r="N126" s="488"/>
      <c r="O126" s="488"/>
      <c r="P126" s="488"/>
      <c r="Q126" s="488"/>
      <c r="R126" s="488"/>
      <c r="S126" s="488"/>
      <c r="T126" s="488"/>
    </row>
    <row r="127" spans="2:21" ht="15" customHeight="1" x14ac:dyDescent="0.2">
      <c r="B127" s="297">
        <v>22</v>
      </c>
      <c r="C127" s="328">
        <f>((B123-B127)*C133-(B133-B127)*C123)/((B123-B127)-(B133-B127))</f>
        <v>1292</v>
      </c>
      <c r="D127" s="328">
        <f t="shared" ref="D127:I127" si="123">((C123-C127)*D133-(C133-C127)*D123)/((C123-C127)-(C133-C127))</f>
        <v>870</v>
      </c>
      <c r="E127" s="328">
        <f t="shared" si="123"/>
        <v>644</v>
      </c>
      <c r="F127" s="328">
        <f t="shared" si="123"/>
        <v>478</v>
      </c>
      <c r="G127" s="328">
        <f t="shared" si="123"/>
        <v>332</v>
      </c>
      <c r="H127" s="328">
        <f t="shared" si="123"/>
        <v>186</v>
      </c>
      <c r="I127" s="328">
        <f t="shared" si="123"/>
        <v>114</v>
      </c>
      <c r="L127" s="373"/>
      <c r="M127" s="488"/>
      <c r="N127" s="488"/>
      <c r="O127" s="488"/>
      <c r="P127" s="488"/>
      <c r="Q127" s="488"/>
      <c r="R127" s="488"/>
      <c r="S127" s="488"/>
      <c r="T127" s="488"/>
    </row>
    <row r="128" spans="2:21" ht="15" customHeight="1" x14ac:dyDescent="0.2">
      <c r="B128" s="297">
        <f>(B127+B129)/2</f>
        <v>22.5</v>
      </c>
      <c r="C128" s="328">
        <f>((B123-B128)*C133-(B133-B128)*C123)/((B123-B128)-(B133-B128))</f>
        <v>1300</v>
      </c>
      <c r="D128" s="328">
        <f t="shared" ref="D128:I128" si="124">((C123-C128)*D133-(C133-C128)*D123)/((C123-C128)-(C133-C128))</f>
        <v>875</v>
      </c>
      <c r="E128" s="328">
        <f t="shared" si="124"/>
        <v>650</v>
      </c>
      <c r="F128" s="328">
        <f t="shared" si="124"/>
        <v>485</v>
      </c>
      <c r="G128" s="328">
        <f t="shared" si="124"/>
        <v>335</v>
      </c>
      <c r="H128" s="328">
        <f t="shared" si="124"/>
        <v>187.5</v>
      </c>
      <c r="I128" s="328">
        <f t="shared" si="124"/>
        <v>115</v>
      </c>
      <c r="L128" s="373"/>
      <c r="M128" s="487" t="s">
        <v>353</v>
      </c>
      <c r="N128" s="488"/>
      <c r="O128" s="488"/>
      <c r="P128" s="488"/>
      <c r="Q128" s="488"/>
      <c r="R128" s="488"/>
      <c r="S128" s="488"/>
      <c r="T128" s="488"/>
    </row>
    <row r="129" spans="2:21" ht="15" customHeight="1" x14ac:dyDescent="0.2">
      <c r="B129" s="297">
        <v>23</v>
      </c>
      <c r="C129" s="328">
        <f>((B123-B129)*C133-(B133-B129)*C123)/((B123-B129)-(B133-B129))</f>
        <v>1308</v>
      </c>
      <c r="D129" s="328">
        <f t="shared" ref="D129:I129" si="125">((C123-C129)*D133-(C133-C129)*D123)/((C123-C129)-(C133-C129))</f>
        <v>880</v>
      </c>
      <c r="E129" s="328">
        <f t="shared" si="125"/>
        <v>656</v>
      </c>
      <c r="F129" s="328">
        <f t="shared" si="125"/>
        <v>492</v>
      </c>
      <c r="G129" s="328">
        <f t="shared" si="125"/>
        <v>338</v>
      </c>
      <c r="H129" s="328">
        <f t="shared" si="125"/>
        <v>189</v>
      </c>
      <c r="I129" s="328">
        <f t="shared" si="125"/>
        <v>116</v>
      </c>
      <c r="L129" s="373"/>
      <c r="M129" s="488"/>
      <c r="N129" s="488"/>
      <c r="O129" s="488"/>
      <c r="P129" s="488"/>
      <c r="Q129" s="488"/>
      <c r="R129" s="488"/>
      <c r="S129" s="488"/>
      <c r="T129" s="488"/>
    </row>
    <row r="130" spans="2:21" ht="15" customHeight="1" x14ac:dyDescent="0.2">
      <c r="B130" s="297">
        <f>(B129+B131)/2</f>
        <v>23.5</v>
      </c>
      <c r="C130" s="328">
        <f>((B123-B130)*C133-(B133-B130)*C123)/((B123-B130)-(B133-B130))</f>
        <v>1316</v>
      </c>
      <c r="D130" s="328">
        <f t="shared" ref="D130:I130" si="126">((C123-C130)*D133-(C133-C130)*D123)/((C123-C130)-(C133-C130))</f>
        <v>885</v>
      </c>
      <c r="E130" s="328">
        <f t="shared" si="126"/>
        <v>662</v>
      </c>
      <c r="F130" s="328">
        <f t="shared" si="126"/>
        <v>499</v>
      </c>
      <c r="G130" s="328">
        <f t="shared" si="126"/>
        <v>341</v>
      </c>
      <c r="H130" s="328">
        <f t="shared" si="126"/>
        <v>190.5</v>
      </c>
      <c r="I130" s="328">
        <f t="shared" si="126"/>
        <v>117</v>
      </c>
      <c r="L130" s="373" t="s">
        <v>354</v>
      </c>
      <c r="M130" s="487" t="s">
        <v>355</v>
      </c>
      <c r="N130" s="488"/>
      <c r="O130" s="488"/>
      <c r="P130" s="488"/>
      <c r="Q130" s="488"/>
      <c r="R130" s="488"/>
      <c r="S130" s="488"/>
      <c r="T130" s="488"/>
      <c r="U130" s="488"/>
    </row>
    <row r="131" spans="2:21" ht="15" customHeight="1" x14ac:dyDescent="0.2">
      <c r="B131" s="297">
        <v>24</v>
      </c>
      <c r="C131" s="328">
        <f>((B123-B131)*C133-(B133-B131)*C123)/((B123-B131)-(B133-B131))</f>
        <v>1324</v>
      </c>
      <c r="D131" s="328">
        <f t="shared" ref="D131:I131" si="127">((C123-C131)*D133-(C133-C131)*D123)/((C123-C131)-(C133-C131))</f>
        <v>890</v>
      </c>
      <c r="E131" s="328">
        <f t="shared" si="127"/>
        <v>668</v>
      </c>
      <c r="F131" s="328">
        <f t="shared" si="127"/>
        <v>506</v>
      </c>
      <c r="G131" s="328">
        <f t="shared" si="127"/>
        <v>344</v>
      </c>
      <c r="H131" s="328">
        <f t="shared" si="127"/>
        <v>192</v>
      </c>
      <c r="I131" s="328">
        <f t="shared" si="127"/>
        <v>118</v>
      </c>
      <c r="L131" s="373"/>
      <c r="M131" s="488"/>
      <c r="N131" s="488"/>
      <c r="O131" s="488"/>
      <c r="P131" s="488"/>
      <c r="Q131" s="488"/>
      <c r="R131" s="488"/>
      <c r="S131" s="488"/>
      <c r="T131" s="488"/>
      <c r="U131" s="488"/>
    </row>
    <row r="132" spans="2:21" ht="15" customHeight="1" x14ac:dyDescent="0.2">
      <c r="B132" s="297">
        <f>(B131+B133)/2</f>
        <v>24.5</v>
      </c>
      <c r="C132" s="328">
        <f t="shared" ref="C132:I132" si="128">((B123-B132)*C133-(B133-B132)*C123)/((B123-B132)-(B133-B132))</f>
        <v>1332</v>
      </c>
      <c r="D132" s="328">
        <f t="shared" si="128"/>
        <v>895</v>
      </c>
      <c r="E132" s="328">
        <f t="shared" si="128"/>
        <v>674</v>
      </c>
      <c r="F132" s="328">
        <f t="shared" si="128"/>
        <v>513</v>
      </c>
      <c r="G132" s="328">
        <f t="shared" si="128"/>
        <v>347</v>
      </c>
      <c r="H132" s="328">
        <f t="shared" si="128"/>
        <v>193.5</v>
      </c>
      <c r="I132" s="328">
        <f t="shared" si="128"/>
        <v>119</v>
      </c>
      <c r="L132" s="373"/>
      <c r="M132" s="488"/>
      <c r="N132" s="488"/>
      <c r="O132" s="488"/>
      <c r="P132" s="488"/>
      <c r="Q132" s="488"/>
      <c r="R132" s="488"/>
      <c r="S132" s="488"/>
      <c r="T132" s="488"/>
      <c r="U132" s="488"/>
    </row>
    <row r="133" spans="2:21" ht="15" customHeight="1" x14ac:dyDescent="0.2">
      <c r="B133" s="311">
        <v>25</v>
      </c>
      <c r="C133" s="325">
        <v>1340</v>
      </c>
      <c r="D133" s="326">
        <v>900</v>
      </c>
      <c r="E133" s="326">
        <v>680</v>
      </c>
      <c r="F133" s="326">
        <v>520</v>
      </c>
      <c r="G133" s="326">
        <v>350</v>
      </c>
      <c r="H133" s="326">
        <v>195</v>
      </c>
      <c r="I133" s="326">
        <v>120</v>
      </c>
      <c r="L133" s="373" t="s">
        <v>356</v>
      </c>
      <c r="M133" s="487" t="s">
        <v>357</v>
      </c>
      <c r="N133" s="488"/>
      <c r="O133" s="488"/>
      <c r="P133" s="488"/>
      <c r="Q133" s="488"/>
      <c r="R133" s="488"/>
      <c r="S133" s="488"/>
      <c r="T133" s="488"/>
      <c r="U133" s="488"/>
    </row>
    <row r="134" spans="2:21" ht="15" customHeight="1" x14ac:dyDescent="0.2">
      <c r="B134" s="297">
        <f>(B133+B135)/2</f>
        <v>25.5</v>
      </c>
      <c r="C134" s="328">
        <f t="shared" ref="C134:I134" si="129">((B133-B134)*C143-(B143-B134)*C133)/((B133-B134)-(B143-B134))</f>
        <v>1348</v>
      </c>
      <c r="D134" s="328">
        <f t="shared" si="129"/>
        <v>905</v>
      </c>
      <c r="E134" s="328">
        <f t="shared" si="129"/>
        <v>686</v>
      </c>
      <c r="F134" s="328">
        <f t="shared" si="129"/>
        <v>524</v>
      </c>
      <c r="G134" s="328">
        <f t="shared" si="129"/>
        <v>353</v>
      </c>
      <c r="H134" s="328">
        <f t="shared" si="129"/>
        <v>196.5</v>
      </c>
      <c r="I134" s="328">
        <f t="shared" si="129"/>
        <v>121</v>
      </c>
      <c r="L134" s="373"/>
      <c r="M134" s="488"/>
      <c r="N134" s="488"/>
      <c r="O134" s="488"/>
      <c r="P134" s="488"/>
      <c r="Q134" s="488"/>
      <c r="R134" s="488"/>
      <c r="S134" s="488"/>
      <c r="T134" s="488"/>
      <c r="U134" s="488"/>
    </row>
    <row r="135" spans="2:21" ht="15" customHeight="1" x14ac:dyDescent="0.2">
      <c r="B135" s="297">
        <v>26</v>
      </c>
      <c r="C135" s="328">
        <f>((B133-B135)*C143-(B143-B135)*C133)/((B133-B135)-(B143-B135))</f>
        <v>1356</v>
      </c>
      <c r="D135" s="328">
        <f t="shared" ref="D135:I135" si="130">((C133-C135)*D143-(C143-C135)*D133)/((C133-C135)-(C143-C135))</f>
        <v>910</v>
      </c>
      <c r="E135" s="328">
        <f t="shared" si="130"/>
        <v>692</v>
      </c>
      <c r="F135" s="328">
        <f t="shared" si="130"/>
        <v>528</v>
      </c>
      <c r="G135" s="328">
        <f t="shared" si="130"/>
        <v>356</v>
      </c>
      <c r="H135" s="328">
        <f t="shared" si="130"/>
        <v>198</v>
      </c>
      <c r="I135" s="328">
        <f t="shared" si="130"/>
        <v>122</v>
      </c>
      <c r="L135" s="373"/>
      <c r="M135" s="488"/>
      <c r="N135" s="488"/>
      <c r="O135" s="488"/>
      <c r="P135" s="488"/>
      <c r="Q135" s="488"/>
      <c r="R135" s="488"/>
      <c r="S135" s="488"/>
      <c r="T135" s="488"/>
      <c r="U135" s="488"/>
    </row>
    <row r="136" spans="2:21" ht="15" customHeight="1" x14ac:dyDescent="0.2">
      <c r="B136" s="297">
        <f>(B135+B137)/2</f>
        <v>26.5</v>
      </c>
      <c r="C136" s="328">
        <f>((B133-B136)*C143-(B143-B136)*C133)/((B133-B136)-(B143-B136))</f>
        <v>1364</v>
      </c>
      <c r="D136" s="328">
        <f t="shared" ref="D136:I136" si="131">((C133-C136)*D143-(C143-C136)*D133)/((C133-C136)-(C143-C136))</f>
        <v>915</v>
      </c>
      <c r="E136" s="328">
        <f t="shared" si="131"/>
        <v>698</v>
      </c>
      <c r="F136" s="328">
        <f t="shared" si="131"/>
        <v>532</v>
      </c>
      <c r="G136" s="328">
        <f t="shared" si="131"/>
        <v>359</v>
      </c>
      <c r="H136" s="328">
        <f t="shared" si="131"/>
        <v>199.5</v>
      </c>
      <c r="I136" s="328">
        <f t="shared" si="131"/>
        <v>123</v>
      </c>
    </row>
    <row r="137" spans="2:21" ht="15" customHeight="1" x14ac:dyDescent="0.2">
      <c r="B137" s="297">
        <v>27</v>
      </c>
      <c r="C137" s="328">
        <f>((B133-B137)*C143-(B143-B137)*C133)/((B133-B137)-(B143-B137))</f>
        <v>1372</v>
      </c>
      <c r="D137" s="328">
        <f t="shared" ref="D137:I137" si="132">((C133-C137)*D143-(C143-C137)*D133)/((C133-C137)-(C143-C137))</f>
        <v>920</v>
      </c>
      <c r="E137" s="328">
        <f t="shared" si="132"/>
        <v>704</v>
      </c>
      <c r="F137" s="328">
        <f t="shared" si="132"/>
        <v>536</v>
      </c>
      <c r="G137" s="328">
        <f t="shared" si="132"/>
        <v>362</v>
      </c>
      <c r="H137" s="328">
        <f t="shared" si="132"/>
        <v>201</v>
      </c>
      <c r="I137" s="328">
        <f t="shared" si="132"/>
        <v>124</v>
      </c>
    </row>
    <row r="138" spans="2:21" ht="15" customHeight="1" x14ac:dyDescent="0.2">
      <c r="B138" s="297">
        <f>(B137+B139)/2</f>
        <v>27.5</v>
      </c>
      <c r="C138" s="328">
        <f>((B133-B138)*C143-(B143-B138)*C133)/((B133-B138)-(B143-B138))</f>
        <v>1380</v>
      </c>
      <c r="D138" s="328">
        <f t="shared" ref="D138:I138" si="133">((C133-C138)*D143-(C143-C138)*D133)/((C133-C138)-(C143-C138))</f>
        <v>925</v>
      </c>
      <c r="E138" s="328">
        <f t="shared" si="133"/>
        <v>710</v>
      </c>
      <c r="F138" s="328">
        <f t="shared" si="133"/>
        <v>540</v>
      </c>
      <c r="G138" s="328">
        <f t="shared" si="133"/>
        <v>365</v>
      </c>
      <c r="H138" s="328">
        <f t="shared" si="133"/>
        <v>202.5</v>
      </c>
      <c r="I138" s="328">
        <f t="shared" si="133"/>
        <v>125</v>
      </c>
    </row>
    <row r="139" spans="2:21" ht="15" customHeight="1" x14ac:dyDescent="0.2">
      <c r="B139" s="297">
        <v>28</v>
      </c>
      <c r="C139" s="328">
        <f>((B133-B139)*C143-(B143-B139)*C133)/((B133-B139)-(B143-B139))</f>
        <v>1388</v>
      </c>
      <c r="D139" s="328">
        <f t="shared" ref="D139:I139" si="134">((C133-C139)*D143-(C143-C139)*D133)/((C133-C139)-(C143-C139))</f>
        <v>930</v>
      </c>
      <c r="E139" s="328">
        <f t="shared" si="134"/>
        <v>716</v>
      </c>
      <c r="F139" s="328">
        <f t="shared" si="134"/>
        <v>544</v>
      </c>
      <c r="G139" s="328">
        <f t="shared" si="134"/>
        <v>368</v>
      </c>
      <c r="H139" s="328">
        <f t="shared" si="134"/>
        <v>204</v>
      </c>
      <c r="I139" s="328">
        <f t="shared" si="134"/>
        <v>126</v>
      </c>
    </row>
    <row r="140" spans="2:21" ht="15" customHeight="1" x14ac:dyDescent="0.2">
      <c r="B140" s="297">
        <f>(B139+B141)/2</f>
        <v>28.5</v>
      </c>
      <c r="C140" s="328">
        <f>((B133-B140)*C143-(B143-B140)*C133)/((B133-B140)-(B143-B140))</f>
        <v>1396</v>
      </c>
      <c r="D140" s="328">
        <f t="shared" ref="D140:I140" si="135">((C133-C140)*D143-(C143-C140)*D133)/((C133-C140)-(C143-C140))</f>
        <v>935</v>
      </c>
      <c r="E140" s="328">
        <f t="shared" si="135"/>
        <v>722</v>
      </c>
      <c r="F140" s="328">
        <f t="shared" si="135"/>
        <v>548</v>
      </c>
      <c r="G140" s="328">
        <f t="shared" si="135"/>
        <v>371</v>
      </c>
      <c r="H140" s="328">
        <f t="shared" si="135"/>
        <v>205.5</v>
      </c>
      <c r="I140" s="328">
        <f t="shared" si="135"/>
        <v>127</v>
      </c>
    </row>
    <row r="141" spans="2:21" ht="15" customHeight="1" x14ac:dyDescent="0.2">
      <c r="B141" s="297">
        <v>29</v>
      </c>
      <c r="C141" s="328">
        <f>((B133-B141)*C143-(B143-B141)*C133)/((B133-B141)-(B143-B141))</f>
        <v>1404</v>
      </c>
      <c r="D141" s="328">
        <f t="shared" ref="D141:I141" si="136">((C133-C141)*D143-(C143-C141)*D133)/((C133-C141)-(C143-C141))</f>
        <v>940</v>
      </c>
      <c r="E141" s="328">
        <f t="shared" si="136"/>
        <v>728</v>
      </c>
      <c r="F141" s="328">
        <f t="shared" si="136"/>
        <v>552</v>
      </c>
      <c r="G141" s="328">
        <f t="shared" si="136"/>
        <v>374</v>
      </c>
      <c r="H141" s="328">
        <f t="shared" si="136"/>
        <v>207</v>
      </c>
      <c r="I141" s="328">
        <f t="shared" si="136"/>
        <v>128</v>
      </c>
    </row>
    <row r="142" spans="2:21" ht="15" customHeight="1" x14ac:dyDescent="0.2">
      <c r="B142" s="297">
        <f>(B141+B143)/2</f>
        <v>29.5</v>
      </c>
      <c r="C142" s="328">
        <f t="shared" ref="C142:I142" si="137">((B133-B142)*C143-(B143-B142)*C133)/((B133-B142)-(B143-B142))</f>
        <v>1412</v>
      </c>
      <c r="D142" s="328">
        <f t="shared" si="137"/>
        <v>945</v>
      </c>
      <c r="E142" s="328">
        <f t="shared" si="137"/>
        <v>734</v>
      </c>
      <c r="F142" s="328">
        <f t="shared" si="137"/>
        <v>556</v>
      </c>
      <c r="G142" s="328">
        <f t="shared" si="137"/>
        <v>377</v>
      </c>
      <c r="H142" s="328">
        <f t="shared" si="137"/>
        <v>208.5</v>
      </c>
      <c r="I142" s="328">
        <f t="shared" si="137"/>
        <v>129</v>
      </c>
    </row>
    <row r="143" spans="2:21" ht="15" customHeight="1" x14ac:dyDescent="0.2">
      <c r="B143" s="311">
        <v>30</v>
      </c>
      <c r="C143" s="325">
        <v>1420</v>
      </c>
      <c r="D143" s="326">
        <v>950</v>
      </c>
      <c r="E143" s="326">
        <v>740</v>
      </c>
      <c r="F143" s="326">
        <v>560</v>
      </c>
      <c r="G143" s="326">
        <v>380</v>
      </c>
      <c r="H143" s="326">
        <v>210</v>
      </c>
      <c r="I143" s="326">
        <v>130</v>
      </c>
    </row>
    <row r="144" spans="2:21" ht="15" customHeight="1" x14ac:dyDescent="0.2">
      <c r="B144" s="297">
        <f>(B143+B145)/2</f>
        <v>30.5</v>
      </c>
      <c r="C144" s="328">
        <f t="shared" ref="C144:I144" si="138">((B143-B144)*C153-(B153-B144)*C143)/((B143-B144)-(B153-B144))</f>
        <v>1428</v>
      </c>
      <c r="D144" s="328">
        <f t="shared" si="138"/>
        <v>955</v>
      </c>
      <c r="E144" s="328">
        <f t="shared" si="138"/>
        <v>746</v>
      </c>
      <c r="F144" s="328">
        <f t="shared" si="138"/>
        <v>564</v>
      </c>
      <c r="G144" s="328">
        <f t="shared" si="138"/>
        <v>383</v>
      </c>
      <c r="H144" s="328">
        <f t="shared" si="138"/>
        <v>211.5</v>
      </c>
      <c r="I144" s="328">
        <f t="shared" si="138"/>
        <v>131</v>
      </c>
    </row>
    <row r="145" spans="2:13" ht="15" customHeight="1" x14ac:dyDescent="0.2">
      <c r="B145" s="297">
        <v>31</v>
      </c>
      <c r="C145" s="328">
        <f>((B143-B145)*C153-(B153-B145)*C143)/((B143-B145)-(B153-B145))</f>
        <v>1436</v>
      </c>
      <c r="D145" s="328">
        <f t="shared" ref="D145:I145" si="139">((C143-C145)*D153-(C153-C145)*D143)/((C143-C145)-(C153-C145))</f>
        <v>960</v>
      </c>
      <c r="E145" s="328">
        <f t="shared" si="139"/>
        <v>752</v>
      </c>
      <c r="F145" s="328">
        <f t="shared" si="139"/>
        <v>568</v>
      </c>
      <c r="G145" s="328">
        <f t="shared" si="139"/>
        <v>386</v>
      </c>
      <c r="H145" s="328">
        <f t="shared" si="139"/>
        <v>213</v>
      </c>
      <c r="I145" s="328">
        <f t="shared" si="139"/>
        <v>132</v>
      </c>
    </row>
    <row r="146" spans="2:13" ht="15" customHeight="1" x14ac:dyDescent="0.2">
      <c r="B146" s="297">
        <f>(B145+B147)/2</f>
        <v>31.5</v>
      </c>
      <c r="C146" s="328">
        <f>((B143-B146)*C153-(B153-B146)*C143)/((B143-B146)-(B153-B146))</f>
        <v>1444</v>
      </c>
      <c r="D146" s="328">
        <f t="shared" ref="D146:I146" si="140">((C143-C146)*D153-(C153-C146)*D143)/((C143-C146)-(C153-C146))</f>
        <v>965</v>
      </c>
      <c r="E146" s="328">
        <f t="shared" si="140"/>
        <v>758</v>
      </c>
      <c r="F146" s="328">
        <f t="shared" si="140"/>
        <v>572</v>
      </c>
      <c r="G146" s="328">
        <f t="shared" si="140"/>
        <v>389</v>
      </c>
      <c r="H146" s="328">
        <f t="shared" si="140"/>
        <v>214.5</v>
      </c>
      <c r="I146" s="328">
        <f t="shared" si="140"/>
        <v>133</v>
      </c>
    </row>
    <row r="147" spans="2:13" ht="15" customHeight="1" x14ac:dyDescent="0.2">
      <c r="B147" s="297">
        <v>32</v>
      </c>
      <c r="C147" s="328">
        <f>((B143-B147)*C153-(B153-B147)*C143)/((B143-B147)-(B153-B147))</f>
        <v>1452</v>
      </c>
      <c r="D147" s="328">
        <f t="shared" ref="D147:I147" si="141">((C143-C147)*D153-(C153-C147)*D143)/((C143-C147)-(C153-C147))</f>
        <v>970</v>
      </c>
      <c r="E147" s="328">
        <f t="shared" si="141"/>
        <v>764</v>
      </c>
      <c r="F147" s="328">
        <f t="shared" si="141"/>
        <v>576</v>
      </c>
      <c r="G147" s="328">
        <f t="shared" si="141"/>
        <v>392</v>
      </c>
      <c r="H147" s="328">
        <f t="shared" si="141"/>
        <v>216</v>
      </c>
      <c r="I147" s="328">
        <f t="shared" si="141"/>
        <v>134</v>
      </c>
    </row>
    <row r="148" spans="2:13" ht="15" customHeight="1" x14ac:dyDescent="0.2">
      <c r="B148" s="297">
        <f>(B147+B149)/2</f>
        <v>32.5</v>
      </c>
      <c r="C148" s="328">
        <f>((B143-B148)*C153-(B153-B148)*C143)/((B143-B148)-(B153-B148))</f>
        <v>1460</v>
      </c>
      <c r="D148" s="328">
        <f t="shared" ref="D148:I148" si="142">((C143-C148)*D153-(C153-C148)*D143)/((C143-C148)-(C153-C148))</f>
        <v>975</v>
      </c>
      <c r="E148" s="328">
        <f t="shared" si="142"/>
        <v>770</v>
      </c>
      <c r="F148" s="328">
        <f t="shared" si="142"/>
        <v>580</v>
      </c>
      <c r="G148" s="328">
        <f t="shared" si="142"/>
        <v>395</v>
      </c>
      <c r="H148" s="328">
        <f t="shared" si="142"/>
        <v>217.5</v>
      </c>
      <c r="I148" s="328">
        <f t="shared" si="142"/>
        <v>135</v>
      </c>
    </row>
    <row r="149" spans="2:13" ht="15" customHeight="1" x14ac:dyDescent="0.2">
      <c r="B149" s="297">
        <v>33</v>
      </c>
      <c r="C149" s="328">
        <f>((B143-B149)*C153-(B153-B149)*C143)/((B143-B149)-(B153-B149))</f>
        <v>1468</v>
      </c>
      <c r="D149" s="328">
        <f t="shared" ref="D149:I149" si="143">((C143-C149)*D153-(C153-C149)*D143)/((C143-C149)-(C153-C149))</f>
        <v>980</v>
      </c>
      <c r="E149" s="328">
        <f t="shared" si="143"/>
        <v>776</v>
      </c>
      <c r="F149" s="328">
        <f t="shared" si="143"/>
        <v>584</v>
      </c>
      <c r="G149" s="328">
        <f t="shared" si="143"/>
        <v>398</v>
      </c>
      <c r="H149" s="328">
        <f t="shared" si="143"/>
        <v>219</v>
      </c>
      <c r="I149" s="328">
        <f t="shared" si="143"/>
        <v>136</v>
      </c>
    </row>
    <row r="150" spans="2:13" ht="15" customHeight="1" x14ac:dyDescent="0.2">
      <c r="B150" s="297">
        <f>(B149+B151)/2</f>
        <v>33.5</v>
      </c>
      <c r="C150" s="328">
        <f>((B143-B150)*C153-(B153-B150)*C143)/((B143-B150)-(B153-B150))</f>
        <v>1476</v>
      </c>
      <c r="D150" s="328">
        <f t="shared" ref="D150:I150" si="144">((C143-C150)*D153-(C153-C150)*D143)/((C143-C150)-(C153-C150))</f>
        <v>985</v>
      </c>
      <c r="E150" s="328">
        <f t="shared" si="144"/>
        <v>782</v>
      </c>
      <c r="F150" s="328">
        <f t="shared" si="144"/>
        <v>588</v>
      </c>
      <c r="G150" s="328">
        <f t="shared" si="144"/>
        <v>401</v>
      </c>
      <c r="H150" s="328">
        <f t="shared" si="144"/>
        <v>220.5</v>
      </c>
      <c r="I150" s="328">
        <f t="shared" si="144"/>
        <v>137</v>
      </c>
    </row>
    <row r="151" spans="2:13" ht="15" customHeight="1" x14ac:dyDescent="0.2">
      <c r="B151" s="297">
        <v>34</v>
      </c>
      <c r="C151" s="328">
        <f>((B143-B151)*C153-(B153-B151)*C143)/((B143-B151)-(B153-B151))</f>
        <v>1484</v>
      </c>
      <c r="D151" s="328">
        <f t="shared" ref="D151:I151" si="145">((C143-C151)*D153-(C153-C151)*D143)/((C143-C151)-(C153-C151))</f>
        <v>990</v>
      </c>
      <c r="E151" s="328">
        <f t="shared" si="145"/>
        <v>788</v>
      </c>
      <c r="F151" s="328">
        <f t="shared" si="145"/>
        <v>592</v>
      </c>
      <c r="G151" s="328">
        <f t="shared" si="145"/>
        <v>404</v>
      </c>
      <c r="H151" s="328">
        <f t="shared" si="145"/>
        <v>222</v>
      </c>
      <c r="I151" s="328">
        <f t="shared" si="145"/>
        <v>138</v>
      </c>
    </row>
    <row r="152" spans="2:13" ht="15" customHeight="1" x14ac:dyDescent="0.2">
      <c r="B152" s="297">
        <f>(B151+B153)/2</f>
        <v>34.5</v>
      </c>
      <c r="C152" s="328">
        <f t="shared" ref="C152:I152" si="146">((B143-B152)*C153-(B153-B152)*C143)/((B143-B152)-(B153-B152))</f>
        <v>1492</v>
      </c>
      <c r="D152" s="328">
        <f t="shared" si="146"/>
        <v>995</v>
      </c>
      <c r="E152" s="328">
        <f t="shared" si="146"/>
        <v>794</v>
      </c>
      <c r="F152" s="328">
        <f t="shared" si="146"/>
        <v>596</v>
      </c>
      <c r="G152" s="328">
        <f t="shared" si="146"/>
        <v>407</v>
      </c>
      <c r="H152" s="328">
        <f t="shared" si="146"/>
        <v>223.5</v>
      </c>
      <c r="I152" s="328">
        <f t="shared" si="146"/>
        <v>139</v>
      </c>
    </row>
    <row r="153" spans="2:13" ht="15" customHeight="1" x14ac:dyDescent="0.2">
      <c r="B153" s="322">
        <v>35</v>
      </c>
      <c r="C153" s="329">
        <v>1500</v>
      </c>
      <c r="D153" s="330">
        <v>1000</v>
      </c>
      <c r="E153" s="330">
        <v>800</v>
      </c>
      <c r="F153" s="330">
        <v>600</v>
      </c>
      <c r="G153" s="330">
        <v>410</v>
      </c>
      <c r="H153" s="330">
        <v>225</v>
      </c>
      <c r="I153" s="330">
        <v>140</v>
      </c>
    </row>
    <row r="154" spans="2:13" ht="15" customHeight="1" x14ac:dyDescent="0.2">
      <c r="B154" s="49"/>
      <c r="L154" s="375" t="s">
        <v>412</v>
      </c>
      <c r="M154" s="269"/>
    </row>
    <row r="155" spans="2:13" ht="15" customHeight="1" x14ac:dyDescent="0.2">
      <c r="B155" s="49"/>
      <c r="M155" s="144" t="s">
        <v>348</v>
      </c>
    </row>
    <row r="156" spans="2:13" ht="15" customHeight="1" x14ac:dyDescent="0.2">
      <c r="B156" s="49"/>
      <c r="L156" s="377" t="s">
        <v>413</v>
      </c>
      <c r="M156" s="273" t="s">
        <v>414</v>
      </c>
    </row>
    <row r="157" spans="2:13" ht="15" customHeight="1" x14ac:dyDescent="0.2">
      <c r="B157" s="49"/>
      <c r="M157" s="273" t="s">
        <v>415</v>
      </c>
    </row>
    <row r="158" spans="2:13" ht="15" customHeight="1" x14ac:dyDescent="0.2">
      <c r="M158" s="273" t="s">
        <v>416</v>
      </c>
    </row>
    <row r="159" spans="2:13" ht="15" customHeight="1" x14ac:dyDescent="0.2">
      <c r="B159" s="312"/>
      <c r="E159" s="272" t="s">
        <v>309</v>
      </c>
      <c r="L159" s="377" t="s">
        <v>417</v>
      </c>
      <c r="M159" s="273" t="s">
        <v>418</v>
      </c>
    </row>
    <row r="160" spans="2:13" ht="15" customHeight="1" x14ac:dyDescent="0.2">
      <c r="B160" s="314"/>
      <c r="C160" s="274"/>
      <c r="D160" s="274"/>
      <c r="E160" s="274"/>
      <c r="F160" s="274"/>
      <c r="G160" s="275"/>
      <c r="H160" s="504" t="s">
        <v>312</v>
      </c>
      <c r="I160" s="505"/>
      <c r="J160" s="506"/>
      <c r="M160" s="273" t="s">
        <v>419</v>
      </c>
    </row>
    <row r="161" spans="2:20" ht="15" customHeight="1" x14ac:dyDescent="0.2">
      <c r="B161" s="315"/>
      <c r="C161" s="270"/>
      <c r="D161" s="270"/>
      <c r="E161" s="270"/>
      <c r="F161" s="270"/>
      <c r="G161" s="277"/>
      <c r="H161" s="507"/>
      <c r="I161" s="508"/>
      <c r="J161" s="509"/>
      <c r="M161" s="273" t="s">
        <v>420</v>
      </c>
    </row>
    <row r="162" spans="2:20" ht="15" customHeight="1" x14ac:dyDescent="0.2">
      <c r="B162" s="315"/>
      <c r="C162" s="270"/>
      <c r="E162" s="270" t="s">
        <v>310</v>
      </c>
      <c r="F162" s="270"/>
      <c r="G162" s="277"/>
      <c r="H162" s="507"/>
      <c r="I162" s="508"/>
      <c r="J162" s="509"/>
      <c r="M162" s="273" t="s">
        <v>421</v>
      </c>
    </row>
    <row r="163" spans="2:20" ht="15" customHeight="1" x14ac:dyDescent="0.2">
      <c r="B163" s="315"/>
      <c r="C163" s="270"/>
      <c r="E163" s="270" t="s">
        <v>311</v>
      </c>
      <c r="F163" s="270"/>
      <c r="G163" s="277"/>
      <c r="H163" s="507"/>
      <c r="I163" s="508"/>
      <c r="J163" s="509"/>
      <c r="M163" s="273" t="s">
        <v>422</v>
      </c>
    </row>
    <row r="164" spans="2:20" ht="15" customHeight="1" x14ac:dyDescent="0.2">
      <c r="B164" s="315"/>
      <c r="C164" s="270"/>
      <c r="D164" s="270"/>
      <c r="E164" s="270"/>
      <c r="F164" s="270"/>
      <c r="G164" s="277"/>
      <c r="H164" s="510"/>
      <c r="I164" s="511"/>
      <c r="J164" s="512"/>
      <c r="L164" s="377" t="s">
        <v>423</v>
      </c>
      <c r="M164" s="273" t="s">
        <v>426</v>
      </c>
    </row>
    <row r="165" spans="2:20" ht="15" customHeight="1" x14ac:dyDescent="0.2">
      <c r="B165" s="315"/>
      <c r="C165" s="270"/>
      <c r="D165" s="270"/>
      <c r="E165" s="270"/>
      <c r="F165" s="270"/>
      <c r="G165" s="277"/>
      <c r="H165" s="468" t="s">
        <v>424</v>
      </c>
      <c r="I165" s="483"/>
      <c r="J165" s="277" t="s">
        <v>425</v>
      </c>
      <c r="O165" s="370" t="s">
        <v>427</v>
      </c>
    </row>
    <row r="166" spans="2:20" ht="15" customHeight="1" x14ac:dyDescent="0.2">
      <c r="B166" s="316"/>
      <c r="C166" s="279"/>
      <c r="D166" s="279"/>
      <c r="E166" s="279"/>
      <c r="F166" s="279"/>
      <c r="G166" s="280"/>
      <c r="H166" s="484" t="s">
        <v>347</v>
      </c>
      <c r="I166" s="485"/>
      <c r="J166" s="376" t="s">
        <v>135</v>
      </c>
      <c r="L166" s="378"/>
      <c r="M166" s="379"/>
      <c r="N166" s="379"/>
      <c r="O166" s="379"/>
      <c r="P166" s="382"/>
      <c r="Q166" s="468" t="s">
        <v>451</v>
      </c>
      <c r="R166" s="486"/>
      <c r="S166" s="486"/>
      <c r="T166" s="444"/>
    </row>
    <row r="167" spans="2:20" ht="15" customHeight="1" x14ac:dyDescent="0.2">
      <c r="B167" s="513" t="s">
        <v>313</v>
      </c>
      <c r="C167" s="514"/>
      <c r="D167" s="514"/>
      <c r="E167" s="514"/>
      <c r="F167" s="514"/>
      <c r="G167" s="515"/>
      <c r="H167" s="468">
        <v>1</v>
      </c>
      <c r="I167" s="483"/>
      <c r="J167" s="540">
        <v>1</v>
      </c>
      <c r="L167" s="380"/>
      <c r="M167" s="273" t="s">
        <v>428</v>
      </c>
      <c r="N167" s="273"/>
      <c r="O167" s="273"/>
      <c r="P167" s="299"/>
      <c r="Q167" s="387"/>
      <c r="R167" s="389" t="s">
        <v>135</v>
      </c>
      <c r="S167" s="388" t="s">
        <v>452</v>
      </c>
      <c r="T167" s="349"/>
    </row>
    <row r="168" spans="2:20" ht="15" customHeight="1" x14ac:dyDescent="0.2">
      <c r="B168" s="542"/>
      <c r="C168" s="543"/>
      <c r="D168" s="543"/>
      <c r="E168" s="543"/>
      <c r="F168" s="543"/>
      <c r="G168" s="544"/>
      <c r="H168" s="489"/>
      <c r="I168" s="490"/>
      <c r="J168" s="541"/>
      <c r="L168" s="381"/>
      <c r="M168" s="281"/>
      <c r="N168" s="281"/>
      <c r="O168" s="281"/>
      <c r="P168" s="301"/>
      <c r="Q168" s="284" t="s">
        <v>378</v>
      </c>
      <c r="R168" s="284" t="s">
        <v>429</v>
      </c>
      <c r="S168" s="284" t="s">
        <v>430</v>
      </c>
      <c r="T168" s="284" t="s">
        <v>431</v>
      </c>
    </row>
    <row r="169" spans="2:20" ht="15" customHeight="1" x14ac:dyDescent="0.2">
      <c r="B169" s="521" t="s">
        <v>314</v>
      </c>
      <c r="C169" s="522"/>
      <c r="D169" s="522"/>
      <c r="E169" s="522"/>
      <c r="F169" s="522"/>
      <c r="G169" s="523"/>
      <c r="H169" s="288"/>
      <c r="I169" s="288"/>
      <c r="J169" s="289"/>
      <c r="L169" s="380" t="s">
        <v>441</v>
      </c>
      <c r="N169" s="273"/>
      <c r="O169" s="273"/>
      <c r="P169" s="299"/>
      <c r="Q169" s="358">
        <v>0.8</v>
      </c>
      <c r="R169" s="358">
        <v>0.8</v>
      </c>
      <c r="S169" s="358">
        <v>0.8</v>
      </c>
      <c r="T169" s="358">
        <v>0.7</v>
      </c>
    </row>
    <row r="170" spans="2:20" ht="15" customHeight="1" x14ac:dyDescent="0.2">
      <c r="B170" s="524"/>
      <c r="C170" s="525"/>
      <c r="D170" s="525"/>
      <c r="E170" s="525"/>
      <c r="F170" s="525"/>
      <c r="G170" s="526"/>
      <c r="H170" s="288"/>
      <c r="I170" s="270"/>
      <c r="J170" s="289"/>
      <c r="L170" s="383" t="s">
        <v>440</v>
      </c>
      <c r="M170" s="384"/>
      <c r="N170" s="384"/>
      <c r="O170" s="384"/>
      <c r="P170" s="385"/>
      <c r="Q170" s="386"/>
      <c r="R170" s="386"/>
      <c r="S170" s="386"/>
      <c r="T170" s="386"/>
    </row>
    <row r="171" spans="2:20" ht="15" customHeight="1" x14ac:dyDescent="0.2">
      <c r="B171" s="524"/>
      <c r="C171" s="525"/>
      <c r="D171" s="525"/>
      <c r="E171" s="525"/>
      <c r="F171" s="525"/>
      <c r="G171" s="526"/>
      <c r="H171" s="288"/>
      <c r="I171" s="270"/>
      <c r="J171" s="289"/>
      <c r="L171" s="383" t="s">
        <v>432</v>
      </c>
      <c r="M171" s="384"/>
      <c r="N171" s="384"/>
      <c r="O171" s="384"/>
      <c r="P171" s="385"/>
      <c r="Q171" s="386">
        <v>0.9</v>
      </c>
      <c r="R171" s="386">
        <v>0.9</v>
      </c>
      <c r="S171" s="386">
        <v>0.9</v>
      </c>
      <c r="T171" s="386">
        <v>0.9</v>
      </c>
    </row>
    <row r="172" spans="2:20" ht="15" customHeight="1" x14ac:dyDescent="0.2">
      <c r="B172" s="317" t="s">
        <v>315</v>
      </c>
      <c r="C172" s="288" t="s">
        <v>318</v>
      </c>
      <c r="D172" s="288"/>
      <c r="E172" s="288"/>
      <c r="F172" s="288"/>
      <c r="G172" s="289"/>
      <c r="H172" s="493">
        <v>1</v>
      </c>
      <c r="I172" s="494"/>
      <c r="J172" s="277">
        <v>0.5</v>
      </c>
      <c r="L172" s="380" t="s">
        <v>443</v>
      </c>
      <c r="N172" s="273"/>
      <c r="O172" s="273"/>
      <c r="P172" s="299"/>
      <c r="Q172" s="358"/>
      <c r="R172" s="358"/>
      <c r="S172" s="358"/>
      <c r="T172" s="358"/>
    </row>
    <row r="173" spans="2:20" ht="15" customHeight="1" x14ac:dyDescent="0.2">
      <c r="B173" s="317" t="s">
        <v>316</v>
      </c>
      <c r="C173" s="288" t="s">
        <v>319</v>
      </c>
      <c r="D173" s="288"/>
      <c r="E173" s="288"/>
      <c r="F173" s="288"/>
      <c r="G173" s="289"/>
      <c r="H173" s="493">
        <v>1</v>
      </c>
      <c r="I173" s="494"/>
      <c r="J173" s="277">
        <v>0.6</v>
      </c>
      <c r="L173" s="380" t="s">
        <v>442</v>
      </c>
      <c r="N173" s="273"/>
      <c r="O173" s="273"/>
      <c r="P173" s="299"/>
      <c r="Q173" s="358"/>
      <c r="R173" s="358"/>
      <c r="S173" s="358"/>
      <c r="T173" s="358"/>
    </row>
    <row r="174" spans="2:20" ht="15" customHeight="1" x14ac:dyDescent="0.2">
      <c r="B174" s="317" t="s">
        <v>317</v>
      </c>
      <c r="C174" s="535" t="s">
        <v>320</v>
      </c>
      <c r="D174" s="535"/>
      <c r="E174" s="535"/>
      <c r="F174" s="535"/>
      <c r="G174" s="536"/>
      <c r="H174" s="493">
        <v>1</v>
      </c>
      <c r="I174" s="494"/>
      <c r="J174" s="545">
        <v>1</v>
      </c>
      <c r="L174" s="380" t="s">
        <v>444</v>
      </c>
      <c r="N174" s="273"/>
      <c r="O174" s="273"/>
      <c r="P174" s="299"/>
      <c r="Q174" s="358">
        <v>0.7</v>
      </c>
      <c r="R174" s="358">
        <v>0.7</v>
      </c>
      <c r="S174" s="358">
        <v>0.7</v>
      </c>
      <c r="T174" s="358">
        <v>0.6</v>
      </c>
    </row>
    <row r="175" spans="2:20" ht="15" customHeight="1" x14ac:dyDescent="0.2">
      <c r="B175" s="318"/>
      <c r="C175" s="537"/>
      <c r="D175" s="537"/>
      <c r="E175" s="537"/>
      <c r="F175" s="537"/>
      <c r="G175" s="538"/>
      <c r="H175" s="495"/>
      <c r="I175" s="496"/>
      <c r="J175" s="492"/>
      <c r="L175" s="380" t="s">
        <v>445</v>
      </c>
      <c r="N175" s="273"/>
      <c r="O175" s="273"/>
      <c r="P175" s="299"/>
      <c r="Q175" s="358"/>
      <c r="R175" s="358"/>
      <c r="S175" s="358"/>
      <c r="T175" s="358"/>
    </row>
    <row r="176" spans="2:20" ht="15" customHeight="1" x14ac:dyDescent="0.2">
      <c r="B176" s="527" t="s">
        <v>321</v>
      </c>
      <c r="C176" s="528"/>
      <c r="D176" s="528"/>
      <c r="E176" s="528"/>
      <c r="F176" s="528"/>
      <c r="G176" s="529"/>
      <c r="H176" s="533">
        <v>1</v>
      </c>
      <c r="I176" s="534"/>
      <c r="J176" s="491">
        <v>0.9</v>
      </c>
      <c r="L176" s="380" t="s">
        <v>433</v>
      </c>
      <c r="N176" s="273"/>
      <c r="O176" s="273"/>
      <c r="P176" s="299"/>
      <c r="Q176" s="358">
        <v>0.6</v>
      </c>
      <c r="R176" s="358">
        <v>0.6</v>
      </c>
      <c r="S176" s="358">
        <v>0.6</v>
      </c>
      <c r="T176" s="358">
        <v>0.6</v>
      </c>
    </row>
    <row r="177" spans="2:20" ht="15" customHeight="1" x14ac:dyDescent="0.2">
      <c r="B177" s="530"/>
      <c r="C177" s="531"/>
      <c r="D177" s="531"/>
      <c r="E177" s="531"/>
      <c r="F177" s="531"/>
      <c r="G177" s="532"/>
      <c r="H177" s="495"/>
      <c r="I177" s="496"/>
      <c r="J177" s="492"/>
      <c r="L177" s="380" t="s">
        <v>434</v>
      </c>
      <c r="N177" s="273"/>
      <c r="O177" s="273"/>
      <c r="P177" s="299"/>
      <c r="Q177" s="358">
        <v>0.8</v>
      </c>
      <c r="R177" s="358">
        <v>0.8</v>
      </c>
      <c r="S177" s="358">
        <v>0.8</v>
      </c>
      <c r="T177" s="358">
        <v>0.7</v>
      </c>
    </row>
    <row r="178" spans="2:20" ht="15" customHeight="1" x14ac:dyDescent="0.2">
      <c r="B178" s="319" t="s">
        <v>322</v>
      </c>
      <c r="C178" s="288"/>
      <c r="D178" s="288"/>
      <c r="E178" s="288"/>
      <c r="F178" s="288"/>
      <c r="G178" s="289"/>
      <c r="H178" s="288"/>
      <c r="I178" s="288"/>
      <c r="J178" s="289"/>
      <c r="L178" s="383" t="s">
        <v>435</v>
      </c>
      <c r="M178" s="384"/>
      <c r="N178" s="384"/>
      <c r="O178" s="384"/>
      <c r="P178" s="385"/>
      <c r="Q178" s="386"/>
      <c r="R178" s="386"/>
      <c r="S178" s="386"/>
      <c r="T178" s="386"/>
    </row>
    <row r="179" spans="2:20" ht="15" customHeight="1" x14ac:dyDescent="0.2">
      <c r="B179" s="317" t="s">
        <v>315</v>
      </c>
      <c r="C179" s="288" t="s">
        <v>323</v>
      </c>
      <c r="D179" s="288"/>
      <c r="E179" s="288"/>
      <c r="F179" s="288"/>
      <c r="G179" s="289"/>
      <c r="H179" s="288"/>
      <c r="I179" s="288"/>
      <c r="J179" s="289"/>
      <c r="L179" s="383" t="s">
        <v>436</v>
      </c>
      <c r="M179" s="384"/>
      <c r="N179" s="384"/>
      <c r="O179" s="384"/>
      <c r="P179" s="385"/>
      <c r="Q179" s="386">
        <v>1</v>
      </c>
      <c r="R179" s="386">
        <v>0.9</v>
      </c>
      <c r="S179" s="386">
        <v>0.7</v>
      </c>
      <c r="T179" s="386">
        <v>0.6</v>
      </c>
    </row>
    <row r="180" spans="2:20" ht="15" customHeight="1" x14ac:dyDescent="0.2">
      <c r="B180" s="319"/>
      <c r="C180" s="288" t="s">
        <v>324</v>
      </c>
      <c r="D180" s="288"/>
      <c r="E180" s="288"/>
      <c r="F180" s="288"/>
      <c r="G180" s="289"/>
      <c r="H180" s="493">
        <v>1.2</v>
      </c>
      <c r="I180" s="494"/>
      <c r="J180" s="277">
        <v>1</v>
      </c>
      <c r="L180" s="383" t="s">
        <v>437</v>
      </c>
      <c r="M180" s="384"/>
      <c r="N180" s="384"/>
      <c r="O180" s="384"/>
      <c r="P180" s="385"/>
      <c r="Q180" s="386">
        <v>0.7</v>
      </c>
      <c r="R180" s="386">
        <v>0.7</v>
      </c>
      <c r="S180" s="386">
        <v>0.7</v>
      </c>
      <c r="T180" s="386">
        <v>0.6</v>
      </c>
    </row>
    <row r="181" spans="2:20" ht="15" customHeight="1" x14ac:dyDescent="0.2">
      <c r="B181" s="319"/>
      <c r="C181" s="288" t="s">
        <v>325</v>
      </c>
      <c r="D181" s="288"/>
      <c r="E181" s="288"/>
      <c r="F181" s="288"/>
      <c r="G181" s="289"/>
      <c r="H181" s="493">
        <v>1.1000000000000001</v>
      </c>
      <c r="I181" s="494"/>
      <c r="J181" s="277">
        <v>1</v>
      </c>
      <c r="L181" s="380" t="s">
        <v>448</v>
      </c>
      <c r="N181" s="273"/>
      <c r="O181" s="273"/>
      <c r="P181" s="299"/>
      <c r="Q181" s="358">
        <v>0.8</v>
      </c>
      <c r="R181" s="358">
        <v>0.8</v>
      </c>
      <c r="S181" s="358">
        <v>0.8</v>
      </c>
      <c r="T181" s="358">
        <v>0.7</v>
      </c>
    </row>
    <row r="182" spans="2:20" ht="15" customHeight="1" x14ac:dyDescent="0.2">
      <c r="B182" s="319"/>
      <c r="C182" s="288" t="s">
        <v>326</v>
      </c>
      <c r="D182" s="288"/>
      <c r="E182" s="288"/>
      <c r="F182" s="288"/>
      <c r="G182" s="289"/>
      <c r="H182" s="493">
        <v>1</v>
      </c>
      <c r="I182" s="494"/>
      <c r="J182" s="277">
        <v>1</v>
      </c>
      <c r="L182" s="380" t="s">
        <v>447</v>
      </c>
      <c r="N182" s="273"/>
      <c r="O182" s="273"/>
      <c r="P182" s="299"/>
      <c r="Q182" s="358"/>
      <c r="R182" s="358"/>
      <c r="S182" s="358"/>
      <c r="T182" s="358"/>
    </row>
    <row r="183" spans="2:20" ht="15" customHeight="1" x14ac:dyDescent="0.2">
      <c r="B183" s="317" t="s">
        <v>316</v>
      </c>
      <c r="C183" s="288" t="s">
        <v>330</v>
      </c>
      <c r="D183" s="288"/>
      <c r="E183" s="288"/>
      <c r="F183" s="288"/>
      <c r="G183" s="289"/>
      <c r="H183" s="270"/>
      <c r="I183" s="270"/>
      <c r="J183" s="277"/>
      <c r="L183" s="383" t="s">
        <v>446</v>
      </c>
      <c r="M183" s="384"/>
      <c r="N183" s="384"/>
      <c r="O183" s="384"/>
      <c r="P183" s="385"/>
      <c r="Q183" s="386"/>
      <c r="R183" s="386"/>
      <c r="S183" s="386"/>
      <c r="T183" s="386"/>
    </row>
    <row r="184" spans="2:20" x14ac:dyDescent="0.2">
      <c r="B184" s="319"/>
      <c r="C184" s="288" t="s">
        <v>327</v>
      </c>
      <c r="D184" s="288"/>
      <c r="E184" s="288"/>
      <c r="F184" s="288"/>
      <c r="G184" s="289"/>
      <c r="H184" s="497">
        <v>0.9</v>
      </c>
      <c r="I184" s="498"/>
      <c r="J184" s="277">
        <v>0.9</v>
      </c>
      <c r="L184" s="380" t="s">
        <v>438</v>
      </c>
      <c r="N184" s="273"/>
      <c r="O184" s="273"/>
      <c r="P184" s="299"/>
      <c r="Q184" s="358">
        <v>0.9</v>
      </c>
      <c r="R184" s="358">
        <v>0.8</v>
      </c>
      <c r="S184" s="358">
        <v>0.8</v>
      </c>
      <c r="T184" s="358">
        <v>0.8</v>
      </c>
    </row>
    <row r="185" spans="2:20" x14ac:dyDescent="0.2">
      <c r="B185" s="319"/>
      <c r="C185" s="288" t="s">
        <v>328</v>
      </c>
      <c r="D185" s="288"/>
      <c r="E185" s="288"/>
      <c r="F185" s="288"/>
      <c r="G185" s="289"/>
      <c r="H185" s="493">
        <v>0.8</v>
      </c>
      <c r="I185" s="494"/>
      <c r="J185" s="277">
        <v>0.9</v>
      </c>
      <c r="L185" s="380" t="s">
        <v>439</v>
      </c>
      <c r="N185" s="273"/>
      <c r="O185" s="273"/>
      <c r="P185" s="299"/>
      <c r="Q185" s="358"/>
      <c r="R185" s="358"/>
      <c r="S185" s="358"/>
      <c r="T185" s="358"/>
    </row>
    <row r="186" spans="2:20" x14ac:dyDescent="0.2">
      <c r="B186" s="319"/>
      <c r="C186" s="288" t="s">
        <v>329</v>
      </c>
      <c r="D186" s="288"/>
      <c r="E186" s="288"/>
      <c r="F186" s="288"/>
      <c r="G186" s="289"/>
      <c r="H186" s="493">
        <v>0.7</v>
      </c>
      <c r="I186" s="494"/>
      <c r="J186" s="277">
        <v>0.9</v>
      </c>
      <c r="L186" s="381" t="s">
        <v>449</v>
      </c>
      <c r="M186" s="281"/>
      <c r="N186" s="281"/>
      <c r="O186" s="281"/>
      <c r="P186" s="301"/>
      <c r="Q186" s="147"/>
      <c r="R186" s="147"/>
      <c r="S186" s="147"/>
      <c r="T186" s="147"/>
    </row>
    <row r="187" spans="2:20" ht="14.25" x14ac:dyDescent="0.2">
      <c r="B187" s="320" t="s">
        <v>317</v>
      </c>
      <c r="C187" s="291" t="s">
        <v>331</v>
      </c>
      <c r="D187" s="291"/>
      <c r="E187" s="291"/>
      <c r="F187" s="291"/>
      <c r="G187" s="292"/>
      <c r="H187" s="495">
        <v>1</v>
      </c>
      <c r="I187" s="496"/>
      <c r="J187" s="290">
        <v>1</v>
      </c>
      <c r="Q187" s="247"/>
      <c r="R187" s="247"/>
      <c r="S187" s="247"/>
    </row>
    <row r="188" spans="2:20" x14ac:dyDescent="0.2">
      <c r="B188" s="319" t="s">
        <v>335</v>
      </c>
      <c r="C188" s="288"/>
      <c r="D188" s="288"/>
      <c r="E188" s="288"/>
      <c r="F188" s="288"/>
      <c r="G188" s="289"/>
      <c r="H188" s="270"/>
      <c r="I188" s="270"/>
      <c r="J188" s="277"/>
      <c r="Q188" s="247"/>
      <c r="R188" s="247"/>
      <c r="S188" s="247"/>
    </row>
    <row r="189" spans="2:20" x14ac:dyDescent="0.2">
      <c r="B189" s="317" t="s">
        <v>315</v>
      </c>
      <c r="C189" s="288" t="s">
        <v>336</v>
      </c>
      <c r="D189" s="288"/>
      <c r="E189" s="288"/>
      <c r="F189" s="288"/>
      <c r="G189" s="289"/>
      <c r="H189" s="493">
        <v>1</v>
      </c>
      <c r="I189" s="494"/>
      <c r="J189" s="277">
        <v>1</v>
      </c>
      <c r="Q189" s="247"/>
      <c r="R189" s="247"/>
      <c r="S189" s="247"/>
    </row>
    <row r="190" spans="2:20" x14ac:dyDescent="0.2">
      <c r="B190" s="320" t="s">
        <v>316</v>
      </c>
      <c r="C190" s="291" t="s">
        <v>337</v>
      </c>
      <c r="D190" s="291"/>
      <c r="E190" s="291"/>
      <c r="F190" s="291"/>
      <c r="G190" s="292"/>
      <c r="H190" s="495">
        <v>0.7</v>
      </c>
      <c r="I190" s="496"/>
      <c r="J190" s="290">
        <v>1</v>
      </c>
      <c r="Q190" s="247"/>
      <c r="R190" s="247"/>
      <c r="S190" s="247"/>
    </row>
    <row r="191" spans="2:20" x14ac:dyDescent="0.2">
      <c r="B191" s="527" t="s">
        <v>384</v>
      </c>
      <c r="C191" s="528"/>
      <c r="D191" s="528"/>
      <c r="E191" s="528"/>
      <c r="F191" s="528"/>
      <c r="G191" s="529"/>
      <c r="H191" s="270"/>
      <c r="I191" s="270"/>
      <c r="J191" s="277"/>
      <c r="Q191" s="247"/>
      <c r="R191" s="247"/>
      <c r="S191" s="247"/>
    </row>
    <row r="192" spans="2:20" x14ac:dyDescent="0.2">
      <c r="B192" s="524"/>
      <c r="C192" s="525"/>
      <c r="D192" s="525"/>
      <c r="E192" s="525"/>
      <c r="F192" s="525"/>
      <c r="G192" s="526"/>
      <c r="H192" s="270"/>
      <c r="I192" s="270"/>
      <c r="J192" s="277"/>
      <c r="Q192" s="247"/>
      <c r="R192" s="247"/>
      <c r="S192" s="247"/>
    </row>
    <row r="193" spans="2:19" x14ac:dyDescent="0.2">
      <c r="B193" s="524"/>
      <c r="C193" s="525"/>
      <c r="D193" s="525"/>
      <c r="E193" s="525"/>
      <c r="F193" s="525"/>
      <c r="G193" s="526"/>
      <c r="H193" s="270"/>
      <c r="I193" s="270"/>
      <c r="J193" s="277"/>
      <c r="Q193" s="247"/>
      <c r="R193" s="247"/>
      <c r="S193" s="247"/>
    </row>
    <row r="194" spans="2:19" x14ac:dyDescent="0.2">
      <c r="B194" s="524"/>
      <c r="C194" s="525"/>
      <c r="D194" s="525"/>
      <c r="E194" s="525"/>
      <c r="F194" s="525"/>
      <c r="G194" s="526"/>
      <c r="H194" s="270"/>
      <c r="I194" s="270"/>
      <c r="J194" s="277"/>
      <c r="Q194" s="247"/>
      <c r="R194" s="247"/>
      <c r="S194" s="247"/>
    </row>
    <row r="195" spans="2:19" x14ac:dyDescent="0.2">
      <c r="B195" s="317" t="s">
        <v>315</v>
      </c>
      <c r="C195" s="288" t="s">
        <v>338</v>
      </c>
      <c r="D195" s="288"/>
      <c r="E195" s="288"/>
      <c r="F195" s="288"/>
      <c r="G195" s="289"/>
      <c r="H195" s="497">
        <v>0.9</v>
      </c>
      <c r="I195" s="498"/>
      <c r="J195" s="277">
        <v>1</v>
      </c>
      <c r="Q195" s="247"/>
      <c r="R195" s="247"/>
      <c r="S195" s="247"/>
    </row>
    <row r="196" spans="2:19" x14ac:dyDescent="0.2">
      <c r="B196" s="317" t="s">
        <v>316</v>
      </c>
      <c r="C196" s="288" t="s">
        <v>339</v>
      </c>
      <c r="D196" s="288"/>
      <c r="E196" s="288"/>
      <c r="F196" s="288"/>
      <c r="G196" s="289"/>
      <c r="H196" s="493">
        <v>0.8</v>
      </c>
      <c r="I196" s="494"/>
      <c r="J196" s="277">
        <v>1</v>
      </c>
      <c r="Q196" s="247"/>
      <c r="R196" s="247"/>
      <c r="S196" s="247"/>
    </row>
    <row r="197" spans="2:19" x14ac:dyDescent="0.2">
      <c r="B197" s="320" t="s">
        <v>317</v>
      </c>
      <c r="C197" s="291" t="s">
        <v>340</v>
      </c>
      <c r="D197" s="291"/>
      <c r="E197" s="291"/>
      <c r="F197" s="291"/>
      <c r="G197" s="292"/>
      <c r="H197" s="495">
        <v>0.7</v>
      </c>
      <c r="I197" s="496"/>
      <c r="J197" s="290">
        <v>1</v>
      </c>
      <c r="Q197" s="247"/>
      <c r="R197" s="247"/>
      <c r="S197" s="247"/>
    </row>
    <row r="198" spans="2:19" x14ac:dyDescent="0.2">
      <c r="B198" s="319" t="s">
        <v>341</v>
      </c>
      <c r="C198" s="288"/>
      <c r="D198" s="288"/>
      <c r="E198" s="288"/>
      <c r="F198" s="288"/>
      <c r="G198" s="289"/>
      <c r="H198" s="270"/>
      <c r="I198" s="270"/>
      <c r="J198" s="277"/>
      <c r="Q198" s="247"/>
      <c r="R198" s="247"/>
      <c r="S198" s="247"/>
    </row>
    <row r="199" spans="2:19" x14ac:dyDescent="0.2">
      <c r="B199" s="317" t="s">
        <v>315</v>
      </c>
      <c r="C199" s="288" t="s">
        <v>343</v>
      </c>
      <c r="D199" s="288"/>
      <c r="E199" s="288"/>
      <c r="F199" s="288"/>
      <c r="G199" s="289"/>
      <c r="H199" s="497">
        <v>1.1000000000000001</v>
      </c>
      <c r="I199" s="498"/>
      <c r="J199" s="277">
        <v>1</v>
      </c>
      <c r="Q199" s="247"/>
      <c r="R199" s="247"/>
      <c r="S199" s="247"/>
    </row>
    <row r="200" spans="2:19" x14ac:dyDescent="0.2">
      <c r="B200" s="317" t="s">
        <v>316</v>
      </c>
      <c r="C200" s="288" t="s">
        <v>344</v>
      </c>
      <c r="D200" s="288"/>
      <c r="E200" s="288"/>
      <c r="F200" s="288"/>
      <c r="G200" s="289"/>
      <c r="H200" s="493">
        <v>1.1000000000000001</v>
      </c>
      <c r="I200" s="494"/>
      <c r="J200" s="277">
        <v>0.8</v>
      </c>
      <c r="Q200" s="247"/>
      <c r="R200" s="247"/>
      <c r="S200" s="247"/>
    </row>
    <row r="201" spans="2:19" ht="14.25" x14ac:dyDescent="0.2">
      <c r="B201" s="317" t="s">
        <v>317</v>
      </c>
      <c r="C201" s="288" t="s">
        <v>346</v>
      </c>
      <c r="D201" s="288"/>
      <c r="E201" s="288"/>
      <c r="F201" s="288"/>
      <c r="G201" s="289"/>
      <c r="H201" s="493">
        <v>1</v>
      </c>
      <c r="I201" s="494"/>
      <c r="J201" s="277">
        <v>1</v>
      </c>
      <c r="Q201" s="247"/>
      <c r="R201" s="247"/>
      <c r="S201" s="247"/>
    </row>
    <row r="202" spans="2:19" ht="14.25" x14ac:dyDescent="0.2">
      <c r="B202" s="321" t="s">
        <v>342</v>
      </c>
      <c r="C202" s="293" t="s">
        <v>345</v>
      </c>
      <c r="D202" s="293"/>
      <c r="E202" s="293"/>
      <c r="F202" s="293"/>
      <c r="G202" s="294"/>
      <c r="H202" s="519">
        <v>1</v>
      </c>
      <c r="I202" s="520"/>
      <c r="J202" s="280">
        <v>1</v>
      </c>
      <c r="Q202" s="247"/>
      <c r="R202" s="247"/>
      <c r="S202" s="247"/>
    </row>
    <row r="203" spans="2:19" x14ac:dyDescent="0.2">
      <c r="B203" s="513" t="s">
        <v>450</v>
      </c>
      <c r="C203" s="514"/>
      <c r="D203" s="514"/>
      <c r="E203" s="514"/>
      <c r="F203" s="514"/>
      <c r="G203" s="514"/>
      <c r="H203" s="514"/>
      <c r="I203" s="514"/>
      <c r="J203" s="515"/>
      <c r="Q203" s="247"/>
      <c r="R203" s="247"/>
      <c r="S203" s="247"/>
    </row>
    <row r="204" spans="2:19" x14ac:dyDescent="0.2">
      <c r="B204" s="516"/>
      <c r="C204" s="517"/>
      <c r="D204" s="517"/>
      <c r="E204" s="517"/>
      <c r="F204" s="517"/>
      <c r="G204" s="517"/>
      <c r="H204" s="517"/>
      <c r="I204" s="517"/>
      <c r="J204" s="518"/>
      <c r="Q204" s="247"/>
      <c r="R204" s="247"/>
      <c r="S204" s="247"/>
    </row>
    <row r="205" spans="2:19" x14ac:dyDescent="0.2">
      <c r="Q205" s="247"/>
      <c r="R205" s="247"/>
      <c r="S205" s="247"/>
    </row>
    <row r="206" spans="2:19" x14ac:dyDescent="0.2">
      <c r="Q206" s="247"/>
      <c r="R206" s="247"/>
      <c r="S206" s="247"/>
    </row>
    <row r="207" spans="2:19" x14ac:dyDescent="0.2">
      <c r="Q207" s="247"/>
      <c r="R207" s="247"/>
      <c r="S207" s="247"/>
    </row>
    <row r="208" spans="2:19" x14ac:dyDescent="0.2">
      <c r="Q208" s="247"/>
      <c r="R208" s="247"/>
      <c r="S208" s="247"/>
    </row>
    <row r="209" spans="17:19" x14ac:dyDescent="0.2">
      <c r="Q209" s="247"/>
      <c r="R209" s="247"/>
      <c r="S209" s="247"/>
    </row>
    <row r="210" spans="17:19" x14ac:dyDescent="0.2">
      <c r="Q210" s="247"/>
      <c r="R210" s="247"/>
      <c r="S210" s="247"/>
    </row>
    <row r="211" spans="17:19" x14ac:dyDescent="0.2">
      <c r="Q211" s="247"/>
      <c r="R211" s="247"/>
      <c r="S211" s="247"/>
    </row>
    <row r="212" spans="17:19" x14ac:dyDescent="0.2">
      <c r="Q212" s="247"/>
      <c r="R212" s="247"/>
      <c r="S212" s="247"/>
    </row>
    <row r="213" spans="17:19" x14ac:dyDescent="0.2">
      <c r="Q213" s="247"/>
      <c r="R213" s="247"/>
      <c r="S213" s="247"/>
    </row>
  </sheetData>
  <customSheetViews>
    <customSheetView guid="{0294C485-EED7-4AA6-A8B2-4AE3C1ADF5F4}" topLeftCell="M1">
      <selection activeCell="H16" sqref="H16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6FCC20C4-4A54-4973-8359-C6D8908D37C8}" topLeftCell="M1">
      <selection activeCell="H16" sqref="H16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78">
    <mergeCell ref="M123:U125"/>
    <mergeCell ref="M126:T127"/>
    <mergeCell ref="M128:T129"/>
    <mergeCell ref="C6:C7"/>
    <mergeCell ref="B191:G194"/>
    <mergeCell ref="H195:I195"/>
    <mergeCell ref="H190:I190"/>
    <mergeCell ref="J167:J168"/>
    <mergeCell ref="B167:G168"/>
    <mergeCell ref="J174:J175"/>
    <mergeCell ref="H187:I187"/>
    <mergeCell ref="B169:G171"/>
    <mergeCell ref="B176:G177"/>
    <mergeCell ref="H176:I177"/>
    <mergeCell ref="H174:I175"/>
    <mergeCell ref="H173:I173"/>
    <mergeCell ref="H172:I172"/>
    <mergeCell ref="C174:G175"/>
    <mergeCell ref="B203:J204"/>
    <mergeCell ref="H202:I202"/>
    <mergeCell ref="H201:I201"/>
    <mergeCell ref="H196:I196"/>
    <mergeCell ref="H199:I199"/>
    <mergeCell ref="H200:I200"/>
    <mergeCell ref="F6:F7"/>
    <mergeCell ref="H160:J164"/>
    <mergeCell ref="G85:G86"/>
    <mergeCell ref="H85:H86"/>
    <mergeCell ref="I85:I86"/>
    <mergeCell ref="G6:G7"/>
    <mergeCell ref="H6:H7"/>
    <mergeCell ref="I6:I7"/>
    <mergeCell ref="C85:C86"/>
    <mergeCell ref="M6:M7"/>
    <mergeCell ref="N6:N7"/>
    <mergeCell ref="O6:O7"/>
    <mergeCell ref="P6:P7"/>
    <mergeCell ref="D85:D86"/>
    <mergeCell ref="E85:E86"/>
    <mergeCell ref="F85:F86"/>
    <mergeCell ref="D6:D7"/>
    <mergeCell ref="E6:E7"/>
    <mergeCell ref="H167:I168"/>
    <mergeCell ref="J176:J177"/>
    <mergeCell ref="H180:I180"/>
    <mergeCell ref="H197:I197"/>
    <mergeCell ref="H186:I186"/>
    <mergeCell ref="H185:I185"/>
    <mergeCell ref="H184:I184"/>
    <mergeCell ref="H182:I182"/>
    <mergeCell ref="H181:I181"/>
    <mergeCell ref="H189:I189"/>
    <mergeCell ref="Q6:Q7"/>
    <mergeCell ref="R6:R7"/>
    <mergeCell ref="S6:S7"/>
    <mergeCell ref="T6:T7"/>
    <mergeCell ref="H165:I165"/>
    <mergeCell ref="H166:I166"/>
    <mergeCell ref="Q166:T166"/>
    <mergeCell ref="M130:U132"/>
    <mergeCell ref="M133:U135"/>
    <mergeCell ref="M121:T122"/>
    <mergeCell ref="Y17:Z17"/>
    <mergeCell ref="Y10:Z10"/>
    <mergeCell ref="Y11:Z11"/>
    <mergeCell ref="Y12:Z12"/>
    <mergeCell ref="Y13:Z13"/>
    <mergeCell ref="U6:U7"/>
    <mergeCell ref="Y25:Z25"/>
    <mergeCell ref="Y9:Z9"/>
    <mergeCell ref="Y24:Z24"/>
    <mergeCell ref="Y18:Z18"/>
    <mergeCell ref="Y19:Z19"/>
    <mergeCell ref="Y20:Z20"/>
    <mergeCell ref="Y21:Z21"/>
    <mergeCell ref="Y14:Z14"/>
    <mergeCell ref="Y15:Z15"/>
    <mergeCell ref="Y16:Z16"/>
  </mergeCells>
  <phoneticPr fontId="9" type="noConversion"/>
  <pageMargins left="0.75" right="0.75" top="1" bottom="1" header="0.5" footer="0.5"/>
  <pageSetup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PILE-99</vt:lpstr>
      <vt:lpstr>Bangtra</vt:lpstr>
      <vt:lpstr>'PILE-99'!Print_Area</vt:lpstr>
    </vt:vector>
  </TitlesOfParts>
  <Company>Tecapro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Kiểm tra móng cọc BTCT</dc:title>
  <dc:creator>Xaydungnenmong.com</dc:creator>
  <cp:lastModifiedBy>Hoctoan123.com</cp:lastModifiedBy>
  <cp:lastPrinted>2008-01-09T07:47:35Z</cp:lastPrinted>
  <dcterms:created xsi:type="dcterms:W3CDTF">1999-12-11T01:19:03Z</dcterms:created>
  <dcterms:modified xsi:type="dcterms:W3CDTF">2021-08-22T02:59:30Z</dcterms:modified>
</cp:coreProperties>
</file>