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nv\Downloads\"/>
    </mc:Choice>
  </mc:AlternateContent>
  <xr:revisionPtr revIDLastSave="0" documentId="8_{F77836C5-057F-407E-9AA1-DD51D96096A9}" xr6:coauthVersionLast="47" xr6:coauthVersionMax="47" xr10:uidLastSave="{00000000-0000-0000-0000-000000000000}"/>
  <bookViews>
    <workbookView xWindow="-120" yWindow="-120" windowWidth="29040" windowHeight="15840" activeTab="1"/>
  </bookViews>
  <sheets>
    <sheet name="1.BD-(P2-No34)" sheetId="7" r:id="rId1"/>
    <sheet name="2.CVT+KC" sheetId="12" r:id="rId2"/>
    <sheet name="Sheet1" sheetId="9" r:id="rId3"/>
    <sheet name="NL khung chong" sheetId="10" r:id="rId4"/>
    <sheet name="No.29-No.34" sheetId="11" r:id="rId5"/>
  </sheets>
  <definedNames>
    <definedName name="CĐ2" localSheetId="1">'2.CVT+KC'!$I$53</definedName>
    <definedName name="CĐ2">#REF!</definedName>
    <definedName name="CĐ4" localSheetId="1">'2.CVT+KC'!$I$56</definedName>
    <definedName name="CĐ4">#REF!</definedName>
    <definedName name="CĐTN" localSheetId="1">'2.CVT+KC'!#REF!</definedName>
    <definedName name="CĐTN">#REF!</definedName>
    <definedName name="_xlnm.Print_Area" localSheetId="0">'1.BD-(P2-No34)'!$A$1:$K$121</definedName>
    <definedName name="_xlnm.Print_Area" localSheetId="1">'2.CVT+KC'!$A$1:$N$479</definedName>
    <definedName name="_xlnm.Print_Area" localSheetId="4">'No.29-No.34'!$A$1:$G$27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7" l="1"/>
  <c r="I94" i="12"/>
  <c r="G227" i="12"/>
  <c r="G228" i="12"/>
  <c r="G230" i="12"/>
  <c r="G231" i="12"/>
  <c r="G441" i="12"/>
  <c r="G442" i="12"/>
  <c r="G444" i="12"/>
  <c r="G445" i="12"/>
  <c r="H446" i="12"/>
  <c r="G447" i="12"/>
  <c r="G448" i="12"/>
  <c r="G450" i="12"/>
  <c r="G451" i="12"/>
  <c r="G453" i="12"/>
  <c r="G454" i="12"/>
  <c r="H455" i="12"/>
  <c r="G456" i="12"/>
  <c r="G457" i="12"/>
  <c r="G465" i="12"/>
  <c r="G466" i="12"/>
  <c r="G474" i="12"/>
  <c r="F475" i="12"/>
  <c r="I475" i="12" s="1"/>
  <c r="G475" i="12"/>
  <c r="H476" i="12"/>
  <c r="G477" i="12"/>
  <c r="G478" i="12"/>
  <c r="F383" i="12"/>
  <c r="J383" i="12"/>
  <c r="K383" i="12" s="1"/>
  <c r="I383" i="12"/>
  <c r="H383" i="12"/>
  <c r="G383" i="12"/>
  <c r="P320" i="12"/>
  <c r="I52" i="12"/>
  <c r="I21" i="12"/>
  <c r="J318" i="12"/>
  <c r="J21" i="12"/>
  <c r="J322" i="12" s="1"/>
  <c r="M322" i="12" s="1"/>
  <c r="I19" i="12"/>
  <c r="J19" i="12"/>
  <c r="H154" i="12" s="1"/>
  <c r="K154" i="12" s="1"/>
  <c r="I329" i="12"/>
  <c r="I328" i="12"/>
  <c r="J324" i="12"/>
  <c r="I54" i="12"/>
  <c r="I55" i="12"/>
  <c r="D119" i="12" s="1"/>
  <c r="Q139" i="12"/>
  <c r="K174" i="12"/>
  <c r="F442" i="12" s="1"/>
  <c r="I442" i="12" s="1"/>
  <c r="H174" i="12"/>
  <c r="G229" i="12" s="1"/>
  <c r="J174" i="12"/>
  <c r="H231" i="12" s="1"/>
  <c r="G274" i="12"/>
  <c r="H274" i="12"/>
  <c r="J274" i="12" s="1"/>
  <c r="G275" i="12"/>
  <c r="H275" i="12"/>
  <c r="J275" i="12"/>
  <c r="F276" i="12"/>
  <c r="I276" i="12" s="1"/>
  <c r="G276" i="12"/>
  <c r="G283" i="12"/>
  <c r="J283" i="12" s="1"/>
  <c r="H283" i="12"/>
  <c r="G284" i="12"/>
  <c r="H284" i="12"/>
  <c r="J284" i="12" s="1"/>
  <c r="F285" i="12"/>
  <c r="I285" i="12" s="1"/>
  <c r="G285" i="12"/>
  <c r="G286" i="12"/>
  <c r="H286" i="12"/>
  <c r="J286" i="12" s="1"/>
  <c r="G287" i="12"/>
  <c r="H287" i="12"/>
  <c r="J287" i="12"/>
  <c r="F288" i="12"/>
  <c r="I288" i="12" s="1"/>
  <c r="G288" i="12"/>
  <c r="G168" i="12"/>
  <c r="M174" i="12" s="1"/>
  <c r="G169" i="12"/>
  <c r="H164" i="12"/>
  <c r="Q135" i="12"/>
  <c r="L380" i="12"/>
  <c r="G217" i="12"/>
  <c r="Q136" i="12"/>
  <c r="G218" i="12"/>
  <c r="H218" i="12"/>
  <c r="J218" i="12"/>
  <c r="G219" i="12"/>
  <c r="J219" i="12" s="1"/>
  <c r="H219" i="12"/>
  <c r="G220" i="12"/>
  <c r="H220" i="12"/>
  <c r="J220" i="12"/>
  <c r="G221" i="12"/>
  <c r="J221" i="12" s="1"/>
  <c r="H221" i="12"/>
  <c r="G222" i="12"/>
  <c r="J222" i="12" s="1"/>
  <c r="H222" i="12"/>
  <c r="F222" i="12"/>
  <c r="I222" i="12" s="1"/>
  <c r="G223" i="12"/>
  <c r="F223" i="12"/>
  <c r="I223" i="12" s="1"/>
  <c r="G224" i="12"/>
  <c r="H224" i="12"/>
  <c r="J224" i="12"/>
  <c r="G225" i="12"/>
  <c r="H225" i="12"/>
  <c r="J225" i="12"/>
  <c r="G226" i="12"/>
  <c r="J226" i="12" s="1"/>
  <c r="H226" i="12"/>
  <c r="H175" i="12"/>
  <c r="H176" i="12" s="1"/>
  <c r="F229" i="12"/>
  <c r="I229" i="12"/>
  <c r="J231" i="12"/>
  <c r="G232" i="12"/>
  <c r="H232" i="12"/>
  <c r="G233" i="12"/>
  <c r="J233" i="12" s="1"/>
  <c r="K233" i="12" s="1"/>
  <c r="L233" i="12" s="1"/>
  <c r="H233" i="12"/>
  <c r="F233" i="12"/>
  <c r="I233" i="12"/>
  <c r="G234" i="12"/>
  <c r="H234" i="12"/>
  <c r="J234" i="12"/>
  <c r="F234" i="12"/>
  <c r="I234" i="12" s="1"/>
  <c r="K234" i="12" s="1"/>
  <c r="L234" i="12" s="1"/>
  <c r="G235" i="12"/>
  <c r="H235" i="12"/>
  <c r="J235" i="12"/>
  <c r="G236" i="12"/>
  <c r="J236" i="12" s="1"/>
  <c r="K236" i="12" s="1"/>
  <c r="L236" i="12" s="1"/>
  <c r="H236" i="12"/>
  <c r="F236" i="12"/>
  <c r="I236" i="12" s="1"/>
  <c r="G237" i="12"/>
  <c r="J237" i="12" s="1"/>
  <c r="H237" i="12"/>
  <c r="G238" i="12"/>
  <c r="H238" i="12"/>
  <c r="G239" i="12"/>
  <c r="J239" i="12" s="1"/>
  <c r="H239" i="12"/>
  <c r="F239" i="12"/>
  <c r="I239" i="12"/>
  <c r="G240" i="12"/>
  <c r="H240" i="12"/>
  <c r="J240" i="12"/>
  <c r="F240" i="12"/>
  <c r="I240" i="12" s="1"/>
  <c r="K240" i="12"/>
  <c r="L240" i="12" s="1"/>
  <c r="G241" i="12"/>
  <c r="H241" i="12"/>
  <c r="J241" i="12" s="1"/>
  <c r="G242" i="12"/>
  <c r="H242" i="12"/>
  <c r="F242" i="12"/>
  <c r="I242" i="12" s="1"/>
  <c r="G243" i="12"/>
  <c r="H243" i="12"/>
  <c r="J243" i="12"/>
  <c r="F243" i="12"/>
  <c r="I243" i="12" s="1"/>
  <c r="K243" i="12" s="1"/>
  <c r="L243" i="12" s="1"/>
  <c r="G244" i="12"/>
  <c r="H244" i="12"/>
  <c r="J244" i="12" s="1"/>
  <c r="F244" i="12"/>
  <c r="I244" i="12"/>
  <c r="K244" i="12" s="1"/>
  <c r="L244" i="12" s="1"/>
  <c r="G245" i="12"/>
  <c r="J245" i="12" s="1"/>
  <c r="K245" i="12" s="1"/>
  <c r="H245" i="12"/>
  <c r="F245" i="12"/>
  <c r="I245" i="12"/>
  <c r="L245" i="12"/>
  <c r="G246" i="12"/>
  <c r="H246" i="12"/>
  <c r="J246" i="12"/>
  <c r="F246" i="12"/>
  <c r="I246" i="12" s="1"/>
  <c r="K246" i="12"/>
  <c r="L246" i="12" s="1"/>
  <c r="G247" i="12"/>
  <c r="H247" i="12"/>
  <c r="J247" i="12" s="1"/>
  <c r="K247" i="12" s="1"/>
  <c r="L247" i="12" s="1"/>
  <c r="F247" i="12"/>
  <c r="I247" i="12"/>
  <c r="G248" i="12"/>
  <c r="H248" i="12"/>
  <c r="F248" i="12"/>
  <c r="I248" i="12" s="1"/>
  <c r="G249" i="12"/>
  <c r="H249" i="12"/>
  <c r="J249" i="12"/>
  <c r="K249" i="12" s="1"/>
  <c r="L249" i="12" s="1"/>
  <c r="F249" i="12"/>
  <c r="I249" i="12" s="1"/>
  <c r="G250" i="12"/>
  <c r="H250" i="12"/>
  <c r="J250" i="12" s="1"/>
  <c r="F250" i="12"/>
  <c r="I250" i="12"/>
  <c r="K250" i="12" s="1"/>
  <c r="L250" i="12" s="1"/>
  <c r="G251" i="12"/>
  <c r="J251" i="12" s="1"/>
  <c r="H251" i="12"/>
  <c r="F251" i="12"/>
  <c r="I251" i="12"/>
  <c r="G252" i="12"/>
  <c r="H252" i="12"/>
  <c r="J252" i="12"/>
  <c r="F252" i="12"/>
  <c r="I252" i="12" s="1"/>
  <c r="K252" i="12"/>
  <c r="L252" i="12" s="1"/>
  <c r="G253" i="12"/>
  <c r="H253" i="12"/>
  <c r="J253" i="12" s="1"/>
  <c r="K253" i="12" s="1"/>
  <c r="L253" i="12" s="1"/>
  <c r="F253" i="12"/>
  <c r="I253" i="12"/>
  <c r="G254" i="12"/>
  <c r="H254" i="12"/>
  <c r="F254" i="12"/>
  <c r="I254" i="12" s="1"/>
  <c r="G255" i="12"/>
  <c r="H255" i="12"/>
  <c r="J255" i="12"/>
  <c r="K255" i="12" s="1"/>
  <c r="L255" i="12" s="1"/>
  <c r="F255" i="12"/>
  <c r="I255" i="12" s="1"/>
  <c r="G256" i="12"/>
  <c r="H256" i="12"/>
  <c r="F256" i="12"/>
  <c r="I256" i="12"/>
  <c r="G257" i="12"/>
  <c r="J257" i="12" s="1"/>
  <c r="H257" i="12"/>
  <c r="F257" i="12"/>
  <c r="I257" i="12"/>
  <c r="G258" i="12"/>
  <c r="H258" i="12"/>
  <c r="J258" i="12"/>
  <c r="F258" i="12"/>
  <c r="I258" i="12" s="1"/>
  <c r="K258" i="12"/>
  <c r="L258" i="12" s="1"/>
  <c r="G259" i="12"/>
  <c r="H259" i="12"/>
  <c r="J259" i="12" s="1"/>
  <c r="K259" i="12" s="1"/>
  <c r="L259" i="12" s="1"/>
  <c r="F259" i="12"/>
  <c r="I259" i="12"/>
  <c r="G260" i="12"/>
  <c r="H260" i="12"/>
  <c r="F260" i="12"/>
  <c r="I260" i="12" s="1"/>
  <c r="G261" i="12"/>
  <c r="H261" i="12"/>
  <c r="J261" i="12"/>
  <c r="K261" i="12" s="1"/>
  <c r="L261" i="12" s="1"/>
  <c r="F261" i="12"/>
  <c r="I261" i="12" s="1"/>
  <c r="G262" i="12"/>
  <c r="H262" i="12"/>
  <c r="J262" i="12" s="1"/>
  <c r="F262" i="12"/>
  <c r="I262" i="12"/>
  <c r="K262" i="12" s="1"/>
  <c r="L262" i="12" s="1"/>
  <c r="G263" i="12"/>
  <c r="J263" i="12" s="1"/>
  <c r="H263" i="12"/>
  <c r="F263" i="12"/>
  <c r="I263" i="12"/>
  <c r="G264" i="12"/>
  <c r="H264" i="12"/>
  <c r="J264" i="12"/>
  <c r="F264" i="12"/>
  <c r="I264" i="12" s="1"/>
  <c r="K264" i="12"/>
  <c r="L264" i="12" s="1"/>
  <c r="G265" i="12"/>
  <c r="H265" i="12"/>
  <c r="J265" i="12" s="1"/>
  <c r="K265" i="12" s="1"/>
  <c r="L265" i="12" s="1"/>
  <c r="F265" i="12"/>
  <c r="I265" i="12"/>
  <c r="G266" i="12"/>
  <c r="H266" i="12"/>
  <c r="F266" i="12"/>
  <c r="I266" i="12" s="1"/>
  <c r="G267" i="12"/>
  <c r="H267" i="12"/>
  <c r="J267" i="12"/>
  <c r="K267" i="12" s="1"/>
  <c r="L267" i="12" s="1"/>
  <c r="F267" i="12"/>
  <c r="I267" i="12" s="1"/>
  <c r="F217" i="12"/>
  <c r="I217" i="12"/>
  <c r="I76" i="12"/>
  <c r="I77" i="12"/>
  <c r="K21" i="12"/>
  <c r="I79" i="12"/>
  <c r="I89" i="12" s="1"/>
  <c r="I85" i="12"/>
  <c r="I86" i="12"/>
  <c r="I95" i="12"/>
  <c r="I96" i="12"/>
  <c r="I84" i="12"/>
  <c r="I63" i="12"/>
  <c r="I56" i="12" s="1"/>
  <c r="I65" i="12" s="1"/>
  <c r="F121" i="12" s="1"/>
  <c r="G177" i="12"/>
  <c r="L177" i="12" s="1"/>
  <c r="K177" i="12"/>
  <c r="J177" i="12"/>
  <c r="I177" i="12"/>
  <c r="H177" i="12"/>
  <c r="G174" i="12"/>
  <c r="G175" i="12"/>
  <c r="F381" i="12" s="1"/>
  <c r="K381" i="12" s="1"/>
  <c r="G164" i="12"/>
  <c r="I121" i="12"/>
  <c r="I122" i="12" s="1"/>
  <c r="K19" i="12"/>
  <c r="I60" i="12"/>
  <c r="I59" i="12"/>
  <c r="C19" i="12"/>
  <c r="H19" i="12"/>
  <c r="C21" i="12"/>
  <c r="H21" i="12"/>
  <c r="C23" i="12"/>
  <c r="E23" i="12"/>
  <c r="H23" i="12"/>
  <c r="I23" i="12"/>
  <c r="J23" i="12"/>
  <c r="K23" i="12"/>
  <c r="C25" i="12"/>
  <c r="E25" i="12"/>
  <c r="H25" i="12"/>
  <c r="I25" i="12"/>
  <c r="J25" i="12"/>
  <c r="K25" i="12"/>
  <c r="S30" i="12"/>
  <c r="S31" i="12"/>
  <c r="Q31" i="12" s="1"/>
  <c r="S34" i="12" s="1"/>
  <c r="S32" i="12"/>
  <c r="S35" i="12"/>
  <c r="I64" i="12"/>
  <c r="I164" i="12"/>
  <c r="J164" i="12"/>
  <c r="K164" i="12"/>
  <c r="I174" i="12"/>
  <c r="H380" i="12" s="1"/>
  <c r="L174" i="12"/>
  <c r="J175" i="12"/>
  <c r="K175" i="12"/>
  <c r="M175" i="12"/>
  <c r="G176" i="12"/>
  <c r="L176" i="12" s="1"/>
  <c r="J176" i="12"/>
  <c r="K176" i="12"/>
  <c r="M324" i="12"/>
  <c r="J342" i="12"/>
  <c r="L342" i="12" s="1"/>
  <c r="N342" i="12" s="1"/>
  <c r="M342" i="12"/>
  <c r="D380" i="12"/>
  <c r="F380" i="12"/>
  <c r="K380" i="12" s="1"/>
  <c r="G380" i="12"/>
  <c r="I380" i="12"/>
  <c r="J380" i="12"/>
  <c r="Q358" i="12"/>
  <c r="S358" i="12" s="1"/>
  <c r="D381" i="12"/>
  <c r="G381" i="12"/>
  <c r="I381" i="12"/>
  <c r="J381" i="12"/>
  <c r="L381" i="12"/>
  <c r="Q359" i="12"/>
  <c r="S359" i="12" s="1"/>
  <c r="D382" i="12"/>
  <c r="G382" i="12"/>
  <c r="I382" i="12"/>
  <c r="J382" i="12"/>
  <c r="Q360" i="12" s="1"/>
  <c r="S360" i="12" s="1"/>
  <c r="Q361" i="12"/>
  <c r="S361" i="12"/>
  <c r="P366" i="12"/>
  <c r="Q366" i="12" s="1"/>
  <c r="S366" i="12" s="1"/>
  <c r="P367" i="12"/>
  <c r="Q367" i="12"/>
  <c r="S367" i="12" s="1"/>
  <c r="P368" i="12"/>
  <c r="Q368" i="12" s="1"/>
  <c r="S368" i="12" s="1"/>
  <c r="P369" i="12"/>
  <c r="Q369" i="12"/>
  <c r="S369" i="12" s="1"/>
  <c r="F408" i="12"/>
  <c r="G408" i="12"/>
  <c r="H408" i="12"/>
  <c r="I408" i="12"/>
  <c r="J408" i="12"/>
  <c r="K408" i="12" s="1"/>
  <c r="L408" i="12" s="1"/>
  <c r="F409" i="12"/>
  <c r="G409" i="12"/>
  <c r="J409" i="12" s="1"/>
  <c r="K409" i="12" s="1"/>
  <c r="L409" i="12" s="1"/>
  <c r="H409" i="12"/>
  <c r="I409" i="12"/>
  <c r="F410" i="12"/>
  <c r="I410" i="12" s="1"/>
  <c r="G410" i="12"/>
  <c r="J410" i="12" s="1"/>
  <c r="H410" i="12"/>
  <c r="F411" i="12"/>
  <c r="I411" i="12" s="1"/>
  <c r="G411" i="12"/>
  <c r="J411" i="12" s="1"/>
  <c r="K411" i="12" s="1"/>
  <c r="L411" i="12" s="1"/>
  <c r="H411" i="12"/>
  <c r="F412" i="12"/>
  <c r="I412" i="12" s="1"/>
  <c r="G412" i="12"/>
  <c r="H412" i="12"/>
  <c r="J412" i="12"/>
  <c r="F413" i="12"/>
  <c r="G413" i="12"/>
  <c r="H413" i="12"/>
  <c r="I413" i="12"/>
  <c r="J413" i="12"/>
  <c r="K413" i="12"/>
  <c r="L413" i="12" s="1"/>
  <c r="F414" i="12"/>
  <c r="G414" i="12"/>
  <c r="H414" i="12"/>
  <c r="I414" i="12"/>
  <c r="J414" i="12"/>
  <c r="K414" i="12" s="1"/>
  <c r="L414" i="12" s="1"/>
  <c r="F415" i="12"/>
  <c r="G415" i="12"/>
  <c r="J415" i="12" s="1"/>
  <c r="H415" i="12"/>
  <c r="I415" i="12"/>
  <c r="F416" i="12"/>
  <c r="I416" i="12" s="1"/>
  <c r="G416" i="12"/>
  <c r="H416" i="12"/>
  <c r="F417" i="12"/>
  <c r="I417" i="12" s="1"/>
  <c r="G417" i="12"/>
  <c r="J417" i="12" s="1"/>
  <c r="K417" i="12" s="1"/>
  <c r="L417" i="12" s="1"/>
  <c r="H417" i="12"/>
  <c r="G418" i="12"/>
  <c r="G419" i="12"/>
  <c r="F420" i="12"/>
  <c r="G420" i="12"/>
  <c r="I420" i="12"/>
  <c r="G421" i="12"/>
  <c r="F422" i="12"/>
  <c r="I422" i="12" s="1"/>
  <c r="G422" i="12"/>
  <c r="H422" i="12"/>
  <c r="F423" i="12"/>
  <c r="I423" i="12" s="1"/>
  <c r="G423" i="12"/>
  <c r="J423" i="12" s="1"/>
  <c r="H423" i="12"/>
  <c r="F424" i="12"/>
  <c r="I424" i="12" s="1"/>
  <c r="G424" i="12"/>
  <c r="H424" i="12"/>
  <c r="J424" i="12"/>
  <c r="K424" i="12" s="1"/>
  <c r="L424" i="12" s="1"/>
  <c r="F425" i="12"/>
  <c r="G425" i="12"/>
  <c r="H425" i="12"/>
  <c r="I425" i="12"/>
  <c r="J425" i="12"/>
  <c r="K425" i="12"/>
  <c r="L425" i="12" s="1"/>
  <c r="F426" i="12"/>
  <c r="G426" i="12"/>
  <c r="H426" i="12"/>
  <c r="I426" i="12"/>
  <c r="J426" i="12"/>
  <c r="K426" i="12" s="1"/>
  <c r="L426" i="12" s="1"/>
  <c r="F427" i="12"/>
  <c r="G427" i="12"/>
  <c r="J427" i="12" s="1"/>
  <c r="K427" i="12" s="1"/>
  <c r="L427" i="12" s="1"/>
  <c r="H427" i="12"/>
  <c r="I427" i="12"/>
  <c r="F428" i="12"/>
  <c r="I428" i="12" s="1"/>
  <c r="G428" i="12"/>
  <c r="J428" i="12" s="1"/>
  <c r="K428" i="12" s="1"/>
  <c r="L428" i="12" s="1"/>
  <c r="H428" i="12"/>
  <c r="F429" i="12"/>
  <c r="I429" i="12" s="1"/>
  <c r="G429" i="12"/>
  <c r="J429" i="12" s="1"/>
  <c r="H429" i="12"/>
  <c r="G430" i="12"/>
  <c r="G431" i="12"/>
  <c r="F432" i="12"/>
  <c r="G432" i="12"/>
  <c r="I432" i="12"/>
  <c r="G433" i="12"/>
  <c r="F434" i="12"/>
  <c r="I434" i="12" s="1"/>
  <c r="G434" i="12"/>
  <c r="H434" i="12"/>
  <c r="F435" i="12"/>
  <c r="I435" i="12" s="1"/>
  <c r="G435" i="12"/>
  <c r="J435" i="12" s="1"/>
  <c r="K435" i="12" s="1"/>
  <c r="L435" i="12" s="1"/>
  <c r="H435" i="12"/>
  <c r="F436" i="12"/>
  <c r="I436" i="12" s="1"/>
  <c r="K436" i="12" s="1"/>
  <c r="G436" i="12"/>
  <c r="H436" i="12"/>
  <c r="J436" i="12"/>
  <c r="L436" i="12"/>
  <c r="F437" i="12"/>
  <c r="G437" i="12"/>
  <c r="H437" i="12"/>
  <c r="I437" i="12"/>
  <c r="J437" i="12"/>
  <c r="K437" i="12"/>
  <c r="L437" i="12" s="1"/>
  <c r="F438" i="12"/>
  <c r="G438" i="12"/>
  <c r="H438" i="12"/>
  <c r="I438" i="12"/>
  <c r="J438" i="12"/>
  <c r="F439" i="12"/>
  <c r="G439" i="12"/>
  <c r="J439" i="12" s="1"/>
  <c r="K439" i="12" s="1"/>
  <c r="L439" i="12" s="1"/>
  <c r="H439" i="12"/>
  <c r="I439" i="12"/>
  <c r="J82" i="7"/>
  <c r="J10" i="7"/>
  <c r="J15" i="7"/>
  <c r="J84" i="7" s="1"/>
  <c r="J86" i="7" s="1"/>
  <c r="F94" i="7" s="1"/>
  <c r="J85" i="7"/>
  <c r="J12" i="7"/>
  <c r="J14" i="7"/>
  <c r="J21" i="7"/>
  <c r="H61" i="7" s="1"/>
  <c r="J20" i="7"/>
  <c r="J25" i="7"/>
  <c r="F7" i="11"/>
  <c r="D8" i="11"/>
  <c r="D27" i="11" s="1"/>
  <c r="F8" i="11"/>
  <c r="U8" i="11"/>
  <c r="V8" i="11"/>
  <c r="W8" i="11" s="1"/>
  <c r="D9" i="11"/>
  <c r="E9" i="11"/>
  <c r="F9" i="11"/>
  <c r="U9" i="11"/>
  <c r="V9" i="11"/>
  <c r="W9" i="11" s="1"/>
  <c r="D10" i="11"/>
  <c r="E10" i="11"/>
  <c r="F10" i="11"/>
  <c r="U10" i="11"/>
  <c r="V10" i="11"/>
  <c r="W10" i="11" s="1"/>
  <c r="D11" i="11"/>
  <c r="E11" i="11"/>
  <c r="F11" i="11"/>
  <c r="U11" i="11"/>
  <c r="V11" i="11"/>
  <c r="W11" i="11" s="1"/>
  <c r="V12" i="11"/>
  <c r="W12" i="11"/>
  <c r="D16" i="11"/>
  <c r="E16" i="11"/>
  <c r="F16" i="11"/>
  <c r="F18" i="11"/>
  <c r="U18" i="11"/>
  <c r="V18" i="11"/>
  <c r="W18" i="11"/>
  <c r="D19" i="11"/>
  <c r="E19" i="11"/>
  <c r="F19" i="11"/>
  <c r="U19" i="11"/>
  <c r="V19" i="11"/>
  <c r="W19" i="11"/>
  <c r="D20" i="11"/>
  <c r="E20" i="11"/>
  <c r="F20" i="11"/>
  <c r="U20" i="11"/>
  <c r="V20" i="11"/>
  <c r="W20" i="11"/>
  <c r="D21" i="11"/>
  <c r="F21" i="11"/>
  <c r="U21" i="11"/>
  <c r="V21" i="11"/>
  <c r="W21" i="11"/>
  <c r="V22" i="11"/>
  <c r="W22" i="11" s="1"/>
  <c r="D24" i="11"/>
  <c r="F24" i="11"/>
  <c r="D25" i="11"/>
  <c r="F25" i="11"/>
  <c r="C27" i="11"/>
  <c r="J34" i="7"/>
  <c r="J35" i="7"/>
  <c r="P60" i="7" s="1"/>
  <c r="J33" i="7"/>
  <c r="Q6" i="7"/>
  <c r="Q7" i="7" s="1"/>
  <c r="B57" i="10"/>
  <c r="C57" i="10"/>
  <c r="T37" i="10" s="1"/>
  <c r="D57" i="10"/>
  <c r="T35" i="10" s="1"/>
  <c r="Q39" i="10"/>
  <c r="Q43" i="10"/>
  <c r="Q47" i="10"/>
  <c r="Q51" i="10"/>
  <c r="B28" i="10"/>
  <c r="C28" i="10"/>
  <c r="O95" i="7"/>
  <c r="O98" i="7" s="1"/>
  <c r="P98" i="7" s="1"/>
  <c r="P102" i="7" s="1"/>
  <c r="N92" i="7"/>
  <c r="J80" i="7"/>
  <c r="O83" i="7"/>
  <c r="O85" i="7" s="1"/>
  <c r="D28" i="10"/>
  <c r="Q8" i="10" s="1"/>
  <c r="N15" i="10"/>
  <c r="T19" i="10"/>
  <c r="T6" i="10"/>
  <c r="Q13" i="10"/>
  <c r="T18" i="10"/>
  <c r="G97" i="7" l="1"/>
  <c r="E97" i="7"/>
  <c r="Q6" i="10"/>
  <c r="Q21" i="10"/>
  <c r="T14" i="10"/>
  <c r="Q22" i="10"/>
  <c r="T17" i="10"/>
  <c r="N53" i="10"/>
  <c r="N45" i="10"/>
  <c r="N41" i="10"/>
  <c r="T20" i="10"/>
  <c r="N14" i="10"/>
  <c r="T8" i="10"/>
  <c r="N21" i="10"/>
  <c r="Q10" i="10"/>
  <c r="Q16" i="10"/>
  <c r="T5" i="10"/>
  <c r="T51" i="10"/>
  <c r="T47" i="10"/>
  <c r="T43" i="10"/>
  <c r="T39" i="10"/>
  <c r="Q35" i="10"/>
  <c r="J32" i="7"/>
  <c r="M63" i="7" s="1"/>
  <c r="E27" i="11"/>
  <c r="F27" i="11"/>
  <c r="K438" i="12"/>
  <c r="L438" i="12" s="1"/>
  <c r="K423" i="12"/>
  <c r="L423" i="12" s="1"/>
  <c r="K415" i="12"/>
  <c r="L415" i="12" s="1"/>
  <c r="Q18" i="10"/>
  <c r="P63" i="7"/>
  <c r="N47" i="10"/>
  <c r="J434" i="12"/>
  <c r="K434" i="12" s="1"/>
  <c r="L434" i="12" s="1"/>
  <c r="J416" i="12"/>
  <c r="K416" i="12" s="1"/>
  <c r="L416" i="12" s="1"/>
  <c r="K412" i="12"/>
  <c r="L412" i="12" s="1"/>
  <c r="S371" i="12"/>
  <c r="F122" i="12"/>
  <c r="J122" i="12" s="1"/>
  <c r="J121" i="12"/>
  <c r="N18" i="10"/>
  <c r="T12" i="10"/>
  <c r="N6" i="10"/>
  <c r="N5" i="10"/>
  <c r="T13" i="10"/>
  <c r="Q4" i="10"/>
  <c r="N51" i="10"/>
  <c r="N43" i="10"/>
  <c r="N39" i="10"/>
  <c r="T22" i="10"/>
  <c r="Q17" i="10"/>
  <c r="T10" i="10"/>
  <c r="Q5" i="10"/>
  <c r="Q14" i="10"/>
  <c r="N23" i="10"/>
  <c r="T9" i="10"/>
  <c r="T53" i="10"/>
  <c r="T49" i="10"/>
  <c r="T45" i="10"/>
  <c r="T41" i="10"/>
  <c r="Q34" i="10"/>
  <c r="J31" i="7"/>
  <c r="J422" i="12"/>
  <c r="K422" i="12" s="1"/>
  <c r="L422" i="12" s="1"/>
  <c r="S363" i="12"/>
  <c r="N22" i="10"/>
  <c r="T16" i="10"/>
  <c r="N10" i="10"/>
  <c r="T4" i="10"/>
  <c r="N13" i="10"/>
  <c r="T21" i="10"/>
  <c r="Q53" i="10"/>
  <c r="Q49" i="10"/>
  <c r="Q45" i="10"/>
  <c r="Q41" i="10"/>
  <c r="Q37" i="10"/>
  <c r="K429" i="12"/>
  <c r="L429" i="12" s="1"/>
  <c r="K410" i="12"/>
  <c r="L410" i="12" s="1"/>
  <c r="T23" i="10"/>
  <c r="N11" i="10"/>
  <c r="N19" i="10"/>
  <c r="T7" i="10"/>
  <c r="T15" i="10"/>
  <c r="Q23" i="10"/>
  <c r="Q7" i="10"/>
  <c r="Q11" i="10"/>
  <c r="Q15" i="10"/>
  <c r="Q19" i="10"/>
  <c r="Q9" i="10"/>
  <c r="T11" i="10"/>
  <c r="N7" i="10"/>
  <c r="N49" i="10"/>
  <c r="N52" i="10"/>
  <c r="N50" i="10"/>
  <c r="N48" i="10"/>
  <c r="N46" i="10"/>
  <c r="N44" i="10"/>
  <c r="N42" i="10"/>
  <c r="N40" i="10"/>
  <c r="N38" i="10"/>
  <c r="N36" i="10"/>
  <c r="N34" i="10"/>
  <c r="O57" i="10" s="1"/>
  <c r="F382" i="12"/>
  <c r="K382" i="12" s="1"/>
  <c r="I175" i="12"/>
  <c r="K283" i="12"/>
  <c r="L283" i="12" s="1"/>
  <c r="K275" i="12"/>
  <c r="L275" i="12" s="1"/>
  <c r="J266" i="12"/>
  <c r="K266" i="12" s="1"/>
  <c r="L266" i="12" s="1"/>
  <c r="J260" i="12"/>
  <c r="K260" i="12" s="1"/>
  <c r="L260" i="12" s="1"/>
  <c r="J254" i="12"/>
  <c r="K254" i="12" s="1"/>
  <c r="L254" i="12" s="1"/>
  <c r="J248" i="12"/>
  <c r="K248" i="12" s="1"/>
  <c r="L248" i="12" s="1"/>
  <c r="J242" i="12"/>
  <c r="K242" i="12" s="1"/>
  <c r="L242" i="12" s="1"/>
  <c r="J238" i="12"/>
  <c r="G282" i="12"/>
  <c r="J282" i="12" s="1"/>
  <c r="K282" i="12" s="1"/>
  <c r="L282" i="12" s="1"/>
  <c r="G273" i="12"/>
  <c r="J273" i="12" s="1"/>
  <c r="K273" i="12" s="1"/>
  <c r="L273" i="12" s="1"/>
  <c r="G473" i="12"/>
  <c r="G470" i="12"/>
  <c r="G464" i="12"/>
  <c r="G461" i="12"/>
  <c r="G279" i="12"/>
  <c r="J279" i="12" s="1"/>
  <c r="G270" i="12"/>
  <c r="G462" i="12"/>
  <c r="G281" i="12"/>
  <c r="G269" i="12"/>
  <c r="G469" i="12"/>
  <c r="G280" i="12"/>
  <c r="J280" i="12" s="1"/>
  <c r="G268" i="12"/>
  <c r="J268" i="12" s="1"/>
  <c r="K268" i="12" s="1"/>
  <c r="L268" i="12" s="1"/>
  <c r="G468" i="12"/>
  <c r="G278" i="12"/>
  <c r="G472" i="12"/>
  <c r="G460" i="12"/>
  <c r="G277" i="12"/>
  <c r="J277" i="12" s="1"/>
  <c r="G471" i="12"/>
  <c r="J471" i="12" s="1"/>
  <c r="K471" i="12" s="1"/>
  <c r="L471" i="12" s="1"/>
  <c r="G459" i="12"/>
  <c r="G272" i="12"/>
  <c r="G463" i="12"/>
  <c r="G271" i="12"/>
  <c r="K220" i="12"/>
  <c r="L220" i="12" s="1"/>
  <c r="K218" i="12"/>
  <c r="L218" i="12" s="1"/>
  <c r="H119" i="12"/>
  <c r="K119" i="12" s="1"/>
  <c r="K224" i="12"/>
  <c r="L224" i="12" s="1"/>
  <c r="N35" i="10"/>
  <c r="L175" i="12"/>
  <c r="N20" i="10"/>
  <c r="N16" i="10"/>
  <c r="N12" i="10"/>
  <c r="N8" i="10"/>
  <c r="N4" i="10"/>
  <c r="N17" i="10"/>
  <c r="N9" i="10"/>
  <c r="Q20" i="10"/>
  <c r="Q12" i="10"/>
  <c r="T52" i="10"/>
  <c r="T50" i="10"/>
  <c r="T48" i="10"/>
  <c r="T46" i="10"/>
  <c r="T44" i="10"/>
  <c r="T42" i="10"/>
  <c r="T40" i="10"/>
  <c r="T38" i="10"/>
  <c r="T36" i="10"/>
  <c r="T34" i="10"/>
  <c r="F473" i="12"/>
  <c r="I473" i="12" s="1"/>
  <c r="F470" i="12"/>
  <c r="I470" i="12" s="1"/>
  <c r="F464" i="12"/>
  <c r="I464" i="12" s="1"/>
  <c r="F461" i="12"/>
  <c r="I461" i="12" s="1"/>
  <c r="F282" i="12"/>
  <c r="I282" i="12" s="1"/>
  <c r="F280" i="12"/>
  <c r="I280" i="12" s="1"/>
  <c r="F278" i="12"/>
  <c r="I278" i="12" s="1"/>
  <c r="F269" i="12"/>
  <c r="I269" i="12" s="1"/>
  <c r="F271" i="12"/>
  <c r="I271" i="12" s="1"/>
  <c r="F273" i="12"/>
  <c r="I273" i="12" s="1"/>
  <c r="F281" i="12"/>
  <c r="I281" i="12" s="1"/>
  <c r="F279" i="12"/>
  <c r="I279" i="12" s="1"/>
  <c r="F277" i="12"/>
  <c r="I277" i="12" s="1"/>
  <c r="F270" i="12"/>
  <c r="I270" i="12" s="1"/>
  <c r="F272" i="12"/>
  <c r="I272" i="12" s="1"/>
  <c r="F462" i="12"/>
  <c r="I462" i="12" s="1"/>
  <c r="F469" i="12"/>
  <c r="I469" i="12" s="1"/>
  <c r="F468" i="12"/>
  <c r="I468" i="12" s="1"/>
  <c r="F472" i="12"/>
  <c r="I472" i="12" s="1"/>
  <c r="F460" i="12"/>
  <c r="I460" i="12" s="1"/>
  <c r="F471" i="12"/>
  <c r="I471" i="12" s="1"/>
  <c r="F459" i="12"/>
  <c r="I459" i="12" s="1"/>
  <c r="F268" i="12"/>
  <c r="I268" i="12" s="1"/>
  <c r="F463" i="12"/>
  <c r="I463" i="12" s="1"/>
  <c r="J256" i="12"/>
  <c r="K256" i="12" s="1"/>
  <c r="L256" i="12" s="1"/>
  <c r="K239" i="12"/>
  <c r="L239" i="12" s="1"/>
  <c r="J232" i="12"/>
  <c r="K222" i="12"/>
  <c r="L222" i="12" s="1"/>
  <c r="N37" i="10"/>
  <c r="Q52" i="10"/>
  <c r="Q50" i="10"/>
  <c r="Q48" i="10"/>
  <c r="Q46" i="10"/>
  <c r="Q44" i="10"/>
  <c r="Q42" i="10"/>
  <c r="Q40" i="10"/>
  <c r="Q38" i="10"/>
  <c r="Q36" i="10"/>
  <c r="H471" i="12"/>
  <c r="H468" i="12"/>
  <c r="H462" i="12"/>
  <c r="H459" i="12"/>
  <c r="H473" i="12"/>
  <c r="H268" i="12"/>
  <c r="H469" i="12"/>
  <c r="H269" i="12"/>
  <c r="H272" i="12"/>
  <c r="H461" i="12"/>
  <c r="H282" i="12"/>
  <c r="H279" i="12"/>
  <c r="H472" i="12"/>
  <c r="H460" i="12"/>
  <c r="H270" i="12"/>
  <c r="H273" i="12"/>
  <c r="H464" i="12"/>
  <c r="H281" i="12"/>
  <c r="H278" i="12"/>
  <c r="H463" i="12"/>
  <c r="H271" i="12"/>
  <c r="H470" i="12"/>
  <c r="H280" i="12"/>
  <c r="H277" i="12"/>
  <c r="K263" i="12"/>
  <c r="L263" i="12" s="1"/>
  <c r="K257" i="12"/>
  <c r="L257" i="12" s="1"/>
  <c r="K251" i="12"/>
  <c r="L251" i="12" s="1"/>
  <c r="F237" i="12"/>
  <c r="I237" i="12" s="1"/>
  <c r="K237" i="12" s="1"/>
  <c r="L237" i="12" s="1"/>
  <c r="F231" i="12"/>
  <c r="I231" i="12" s="1"/>
  <c r="K231" i="12" s="1"/>
  <c r="L231" i="12" s="1"/>
  <c r="F226" i="12"/>
  <c r="I226" i="12" s="1"/>
  <c r="K226" i="12" s="1"/>
  <c r="L226" i="12" s="1"/>
  <c r="F225" i="12"/>
  <c r="I225" i="12" s="1"/>
  <c r="K225" i="12" s="1"/>
  <c r="L225" i="12" s="1"/>
  <c r="F224" i="12"/>
  <c r="I224" i="12" s="1"/>
  <c r="F220" i="12"/>
  <c r="I220" i="12" s="1"/>
  <c r="F219" i="12"/>
  <c r="I219" i="12" s="1"/>
  <c r="K219" i="12" s="1"/>
  <c r="L219" i="12" s="1"/>
  <c r="F218" i="12"/>
  <c r="I218" i="12" s="1"/>
  <c r="P318" i="12"/>
  <c r="Q320" i="12" s="1"/>
  <c r="Q133" i="12"/>
  <c r="F479" i="12"/>
  <c r="I479" i="12" s="1"/>
  <c r="H465" i="12"/>
  <c r="J465" i="12" s="1"/>
  <c r="K465" i="12" s="1"/>
  <c r="L465" i="12" s="1"/>
  <c r="F458" i="12"/>
  <c r="I458" i="12" s="1"/>
  <c r="H450" i="12"/>
  <c r="J450" i="12" s="1"/>
  <c r="K450" i="12" s="1"/>
  <c r="L450" i="12" s="1"/>
  <c r="F449" i="12"/>
  <c r="I449" i="12" s="1"/>
  <c r="H441" i="12"/>
  <c r="J441" i="12" s="1"/>
  <c r="K441" i="12" s="1"/>
  <c r="L441" i="12" s="1"/>
  <c r="F440" i="12"/>
  <c r="I440" i="12" s="1"/>
  <c r="F454" i="12"/>
  <c r="I454" i="12" s="1"/>
  <c r="F445" i="12"/>
  <c r="I445" i="12" s="1"/>
  <c r="F241" i="12"/>
  <c r="I241" i="12" s="1"/>
  <c r="K241" i="12" s="1"/>
  <c r="L241" i="12" s="1"/>
  <c r="F235" i="12"/>
  <c r="I235" i="12" s="1"/>
  <c r="K235" i="12" s="1"/>
  <c r="L235" i="12" s="1"/>
  <c r="F228" i="12"/>
  <c r="F283" i="12"/>
  <c r="I283" i="12" s="1"/>
  <c r="H445" i="12"/>
  <c r="J445" i="12" s="1"/>
  <c r="K445" i="12" s="1"/>
  <c r="L445" i="12" s="1"/>
  <c r="H451" i="12"/>
  <c r="J451" i="12" s="1"/>
  <c r="H457" i="12"/>
  <c r="J457" i="12" s="1"/>
  <c r="K457" i="12" s="1"/>
  <c r="L457" i="12" s="1"/>
  <c r="H475" i="12"/>
  <c r="J475" i="12" s="1"/>
  <c r="K475" i="12" s="1"/>
  <c r="L475" i="12" s="1"/>
  <c r="H285" i="12"/>
  <c r="J285" i="12" s="1"/>
  <c r="K285" i="12" s="1"/>
  <c r="L285" i="12" s="1"/>
  <c r="H217" i="12"/>
  <c r="J217" i="12" s="1"/>
  <c r="K217" i="12" s="1"/>
  <c r="L217" i="12" s="1"/>
  <c r="H223" i="12"/>
  <c r="J223" i="12" s="1"/>
  <c r="K223" i="12" s="1"/>
  <c r="L223" i="12" s="1"/>
  <c r="H227" i="12"/>
  <c r="H230" i="12"/>
  <c r="H442" i="12"/>
  <c r="J442" i="12" s="1"/>
  <c r="K442" i="12" s="1"/>
  <c r="L442" i="12" s="1"/>
  <c r="H448" i="12"/>
  <c r="J448" i="12" s="1"/>
  <c r="H454" i="12"/>
  <c r="J454" i="12" s="1"/>
  <c r="K454" i="12" s="1"/>
  <c r="L454" i="12" s="1"/>
  <c r="H466" i="12"/>
  <c r="J466" i="12" s="1"/>
  <c r="H478" i="12"/>
  <c r="J478" i="12" s="1"/>
  <c r="K478" i="12" s="1"/>
  <c r="L478" i="12" s="1"/>
  <c r="H276" i="12"/>
  <c r="J276" i="12" s="1"/>
  <c r="K276" i="12" s="1"/>
  <c r="L276" i="12" s="1"/>
  <c r="H288" i="12"/>
  <c r="J288" i="12" s="1"/>
  <c r="K288" i="12" s="1"/>
  <c r="L288" i="12" s="1"/>
  <c r="Q137" i="12"/>
  <c r="H477" i="12"/>
  <c r="J477" i="12" s="1"/>
  <c r="F476" i="12"/>
  <c r="I476" i="12" s="1"/>
  <c r="H456" i="12"/>
  <c r="J456" i="12" s="1"/>
  <c r="K456" i="12" s="1"/>
  <c r="L456" i="12" s="1"/>
  <c r="F455" i="12"/>
  <c r="I455" i="12" s="1"/>
  <c r="H447" i="12"/>
  <c r="J447" i="12" s="1"/>
  <c r="K447" i="12" s="1"/>
  <c r="L447" i="12" s="1"/>
  <c r="F446" i="12"/>
  <c r="I446" i="12" s="1"/>
  <c r="H467" i="12"/>
  <c r="F466" i="12"/>
  <c r="I466" i="12" s="1"/>
  <c r="H452" i="12"/>
  <c r="F451" i="12"/>
  <c r="I451" i="12" s="1"/>
  <c r="H443" i="12"/>
  <c r="H229" i="12"/>
  <c r="F441" i="12"/>
  <c r="I441" i="12" s="1"/>
  <c r="F447" i="12"/>
  <c r="I447" i="12" s="1"/>
  <c r="F453" i="12"/>
  <c r="I453" i="12" s="1"/>
  <c r="F465" i="12"/>
  <c r="I465" i="12" s="1"/>
  <c r="F477" i="12"/>
  <c r="I477" i="12" s="1"/>
  <c r="F275" i="12"/>
  <c r="I275" i="12" s="1"/>
  <c r="F287" i="12"/>
  <c r="I287" i="12" s="1"/>
  <c r="K287" i="12" s="1"/>
  <c r="L287" i="12" s="1"/>
  <c r="F221" i="12"/>
  <c r="I221" i="12" s="1"/>
  <c r="K221" i="12" s="1"/>
  <c r="L221" i="12" s="1"/>
  <c r="F227" i="12"/>
  <c r="F444" i="12"/>
  <c r="I444" i="12" s="1"/>
  <c r="F450" i="12"/>
  <c r="I450" i="12" s="1"/>
  <c r="F456" i="12"/>
  <c r="I456" i="12" s="1"/>
  <c r="F474" i="12"/>
  <c r="I474" i="12" s="1"/>
  <c r="F284" i="12"/>
  <c r="I284" i="12" s="1"/>
  <c r="K284" i="12" s="1"/>
  <c r="L284" i="12" s="1"/>
  <c r="H474" i="12"/>
  <c r="J474" i="12" s="1"/>
  <c r="K474" i="12" s="1"/>
  <c r="L474" i="12" s="1"/>
  <c r="F467" i="12"/>
  <c r="I467" i="12" s="1"/>
  <c r="H453" i="12"/>
  <c r="J453" i="12" s="1"/>
  <c r="K453" i="12" s="1"/>
  <c r="L453" i="12" s="1"/>
  <c r="F452" i="12"/>
  <c r="I452" i="12" s="1"/>
  <c r="H444" i="12"/>
  <c r="J444" i="12" s="1"/>
  <c r="F443" i="12"/>
  <c r="I443" i="12" s="1"/>
  <c r="H228" i="12"/>
  <c r="F238" i="12"/>
  <c r="I238" i="12" s="1"/>
  <c r="F232" i="12"/>
  <c r="I232" i="12" s="1"/>
  <c r="F230" i="12"/>
  <c r="F286" i="12"/>
  <c r="I286" i="12" s="1"/>
  <c r="K286" i="12" s="1"/>
  <c r="L286" i="12" s="1"/>
  <c r="F274" i="12"/>
  <c r="I274" i="12" s="1"/>
  <c r="K274" i="12" s="1"/>
  <c r="L274" i="12" s="1"/>
  <c r="J321" i="12"/>
  <c r="M321" i="12" s="1"/>
  <c r="P322" i="12" s="1"/>
  <c r="I53" i="12"/>
  <c r="H479" i="12"/>
  <c r="F478" i="12"/>
  <c r="I478" i="12" s="1"/>
  <c r="H458" i="12"/>
  <c r="F457" i="12"/>
  <c r="I457" i="12" s="1"/>
  <c r="H449" i="12"/>
  <c r="F448" i="12"/>
  <c r="I448" i="12" s="1"/>
  <c r="H440" i="12"/>
  <c r="G479" i="12"/>
  <c r="G467" i="12"/>
  <c r="J467" i="12" s="1"/>
  <c r="G455" i="12"/>
  <c r="J455" i="12" s="1"/>
  <c r="G449" i="12"/>
  <c r="J449" i="12" s="1"/>
  <c r="G443" i="12"/>
  <c r="G476" i="12"/>
  <c r="J476" i="12" s="1"/>
  <c r="K476" i="12" s="1"/>
  <c r="L476" i="12" s="1"/>
  <c r="G458" i="12"/>
  <c r="J458" i="12" s="1"/>
  <c r="K458" i="12" s="1"/>
  <c r="L458" i="12" s="1"/>
  <c r="G452" i="12"/>
  <c r="G446" i="12"/>
  <c r="J446" i="12" s="1"/>
  <c r="K446" i="12" s="1"/>
  <c r="L446" i="12" s="1"/>
  <c r="G440" i="12"/>
  <c r="J270" i="12" l="1"/>
  <c r="K270" i="12" s="1"/>
  <c r="L270" i="12" s="1"/>
  <c r="J443" i="12"/>
  <c r="K443" i="12" s="1"/>
  <c r="L443" i="12" s="1"/>
  <c r="I227" i="12"/>
  <c r="F418" i="12"/>
  <c r="J479" i="12"/>
  <c r="K479" i="12" s="1"/>
  <c r="L479" i="12" s="1"/>
  <c r="I230" i="12"/>
  <c r="F421" i="12"/>
  <c r="J229" i="12"/>
  <c r="K229" i="12" s="1"/>
  <c r="L229" i="12" s="1"/>
  <c r="H420" i="12"/>
  <c r="K448" i="12"/>
  <c r="L448" i="12" s="1"/>
  <c r="I228" i="12"/>
  <c r="F419" i="12"/>
  <c r="T135" i="12"/>
  <c r="J459" i="12"/>
  <c r="K459" i="12" s="1"/>
  <c r="L459" i="12" s="1"/>
  <c r="J468" i="12"/>
  <c r="K468" i="12" s="1"/>
  <c r="L468" i="12" s="1"/>
  <c r="J462" i="12"/>
  <c r="K462" i="12" s="1"/>
  <c r="L462" i="12" s="1"/>
  <c r="J473" i="12"/>
  <c r="K473" i="12" s="1"/>
  <c r="L473" i="12" s="1"/>
  <c r="K277" i="12"/>
  <c r="L277" i="12" s="1"/>
  <c r="K280" i="12"/>
  <c r="L280" i="12" s="1"/>
  <c r="K279" i="12"/>
  <c r="L279" i="12" s="1"/>
  <c r="Q134" i="12"/>
  <c r="S133" i="12" s="1"/>
  <c r="I99" i="12"/>
  <c r="I119" i="12" s="1"/>
  <c r="L119" i="12" s="1"/>
  <c r="I330" i="12"/>
  <c r="J230" i="12"/>
  <c r="K230" i="12" s="1"/>
  <c r="L230" i="12" s="1"/>
  <c r="H421" i="12"/>
  <c r="H418" i="12"/>
  <c r="J227" i="12"/>
  <c r="K227" i="12" s="1"/>
  <c r="L227" i="12" s="1"/>
  <c r="K451" i="12"/>
  <c r="L451" i="12" s="1"/>
  <c r="J271" i="12"/>
  <c r="K271" i="12" s="1"/>
  <c r="L271" i="12" s="1"/>
  <c r="J460" i="12"/>
  <c r="K460" i="12" s="1"/>
  <c r="L460" i="12" s="1"/>
  <c r="J469" i="12"/>
  <c r="K469" i="12" s="1"/>
  <c r="L469" i="12" s="1"/>
  <c r="J461" i="12"/>
  <c r="K461" i="12" s="1"/>
  <c r="L461" i="12" s="1"/>
  <c r="K238" i="12"/>
  <c r="L238" i="12" s="1"/>
  <c r="J440" i="12"/>
  <c r="K440" i="12" s="1"/>
  <c r="L440" i="12" s="1"/>
  <c r="H419" i="12"/>
  <c r="J228" i="12"/>
  <c r="K228" i="12" s="1"/>
  <c r="L228" i="12" s="1"/>
  <c r="K455" i="12"/>
  <c r="L455" i="12" s="1"/>
  <c r="K466" i="12"/>
  <c r="L466" i="12" s="1"/>
  <c r="J463" i="12"/>
  <c r="K463" i="12" s="1"/>
  <c r="L463" i="12" s="1"/>
  <c r="J472" i="12"/>
  <c r="K472" i="12" s="1"/>
  <c r="L472" i="12" s="1"/>
  <c r="J269" i="12"/>
  <c r="K269" i="12" s="1"/>
  <c r="L269" i="12" s="1"/>
  <c r="J464" i="12"/>
  <c r="K464" i="12" s="1"/>
  <c r="L464" i="12" s="1"/>
  <c r="H68" i="7"/>
  <c r="M60" i="7"/>
  <c r="K449" i="12"/>
  <c r="L449" i="12" s="1"/>
  <c r="J452" i="12"/>
  <c r="K452" i="12" s="1"/>
  <c r="L452" i="12" s="1"/>
  <c r="K467" i="12"/>
  <c r="L467" i="12" s="1"/>
  <c r="K444" i="12"/>
  <c r="L444" i="12" s="1"/>
  <c r="K477" i="12"/>
  <c r="L477" i="12" s="1"/>
  <c r="K232" i="12"/>
  <c r="L232" i="12" s="1"/>
  <c r="Q138" i="12"/>
  <c r="Q140" i="12" s="1"/>
  <c r="J272" i="12"/>
  <c r="K272" i="12" s="1"/>
  <c r="L272" i="12" s="1"/>
  <c r="J278" i="12"/>
  <c r="K278" i="12" s="1"/>
  <c r="L278" i="12" s="1"/>
  <c r="J281" i="12"/>
  <c r="K281" i="12" s="1"/>
  <c r="L281" i="12" s="1"/>
  <c r="J470" i="12"/>
  <c r="K470" i="12" s="1"/>
  <c r="L470" i="12" s="1"/>
  <c r="H381" i="12"/>
  <c r="I176" i="12"/>
  <c r="H382" i="12" s="1"/>
  <c r="H66" i="7"/>
  <c r="S376" i="12"/>
  <c r="H155" i="12" l="1"/>
  <c r="K155" i="12" s="1"/>
  <c r="S135" i="12"/>
  <c r="H430" i="12"/>
  <c r="J430" i="12" s="1"/>
  <c r="J418" i="12"/>
  <c r="I418" i="12"/>
  <c r="F430" i="12"/>
  <c r="I430" i="12" s="1"/>
  <c r="E71" i="7"/>
  <c r="H69" i="7"/>
  <c r="G71" i="7"/>
  <c r="H433" i="12"/>
  <c r="J433" i="12" s="1"/>
  <c r="J421" i="12"/>
  <c r="K421" i="12" s="1"/>
  <c r="L421" i="12" s="1"/>
  <c r="H432" i="12"/>
  <c r="J432" i="12" s="1"/>
  <c r="K432" i="12" s="1"/>
  <c r="L432" i="12" s="1"/>
  <c r="J420" i="12"/>
  <c r="K420" i="12" s="1"/>
  <c r="L420" i="12" s="1"/>
  <c r="S134" i="12"/>
  <c r="T138" i="12"/>
  <c r="U135" i="12" s="1"/>
  <c r="S139" i="12"/>
  <c r="H431" i="12"/>
  <c r="J431" i="12" s="1"/>
  <c r="K431" i="12" s="1"/>
  <c r="L431" i="12" s="1"/>
  <c r="J419" i="12"/>
  <c r="K419" i="12" s="1"/>
  <c r="L419" i="12" s="1"/>
  <c r="I419" i="12"/>
  <c r="F431" i="12"/>
  <c r="I431" i="12" s="1"/>
  <c r="F433" i="12"/>
  <c r="I433" i="12" s="1"/>
  <c r="I421" i="12"/>
  <c r="K418" i="12" l="1"/>
  <c r="L418" i="12" s="1"/>
  <c r="K430" i="12"/>
  <c r="L430" i="12" s="1"/>
  <c r="K433" i="12"/>
  <c r="L433" i="12" s="1"/>
</calcChain>
</file>

<file path=xl/comments1.xml><?xml version="1.0" encoding="utf-8"?>
<comments xmlns="http://schemas.openxmlformats.org/spreadsheetml/2006/main">
  <authors>
    <author>Nguyen Tan Dat</author>
    <author>Le Ngoc Ha</author>
    <author>Microsoft Cop.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Nguyen Tan Dat:</t>
        </r>
        <r>
          <rPr>
            <sz val="8"/>
            <color indexed="81"/>
            <rFont val="Tahoma"/>
            <family val="2"/>
          </rPr>
          <t xml:space="preserve">
Ban cho truoc neu thoa man DK thi lay lam ket qua tinh toan</t>
        </r>
      </text>
    </comment>
    <comment ref="I14" authorId="1" shapeId="0">
      <text>
        <r>
          <rPr>
            <b/>
            <sz val="8"/>
            <color indexed="81"/>
            <rFont val="Tahoma"/>
            <family val="2"/>
          </rPr>
          <t>Le Ngoc Ha:</t>
        </r>
        <r>
          <rPr>
            <sz val="8"/>
            <color indexed="81"/>
            <rFont val="Tahoma"/>
            <family val="2"/>
          </rPr>
          <t xml:space="preserve">
Nhập giá trị để kiểm tra tính toán thử</t>
        </r>
      </text>
    </comment>
    <comment ref="J15" authorId="2" shapeId="0">
      <text>
        <r>
          <rPr>
            <b/>
            <sz val="8"/>
            <color indexed="81"/>
            <rFont val="Tahoma"/>
            <family val="2"/>
          </rPr>
          <t>Microsoft Cop.:</t>
        </r>
        <r>
          <rPr>
            <sz val="8"/>
            <color indexed="81"/>
            <rFont val="Tahoma"/>
            <family val="2"/>
          </rPr>
          <t xml:space="preserve">
Trong đó có tính 100mm lớp BT tạo phẳng và 200mm da hoc lót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Nguyen Tan Dat:</t>
        </r>
        <r>
          <rPr>
            <sz val="8"/>
            <color indexed="81"/>
            <rFont val="Tahoma"/>
            <family val="2"/>
          </rPr>
          <t xml:space="preserve">
Nhap ''D'' cho coc tron
         ''a'' cho coc vuong</t>
        </r>
      </text>
    </comment>
    <comment ref="J43" authorId="1" shapeId="0">
      <text>
        <r>
          <rPr>
            <b/>
            <sz val="8"/>
            <color indexed="81"/>
            <rFont val="Tahoma"/>
            <family val="2"/>
          </rPr>
          <t>Le Ngoc Ha:</t>
        </r>
        <r>
          <rPr>
            <sz val="8"/>
            <color indexed="81"/>
            <rFont val="Tahoma"/>
            <family val="2"/>
          </rPr>
          <t xml:space="preserve">
Bảng 2 trang 226-Quy trinh TK câu cống theo TTGH</t>
        </r>
      </text>
    </comment>
    <comment ref="J83" authorId="2" shapeId="0">
      <text>
        <r>
          <rPr>
            <b/>
            <sz val="8"/>
            <color indexed="81"/>
            <rFont val="Tahoma"/>
            <family val="2"/>
          </rPr>
          <t>Microsoft Cop.:</t>
        </r>
        <r>
          <rPr>
            <sz val="8"/>
            <color indexed="81"/>
            <rFont val="Tahoma"/>
            <family val="2"/>
          </rPr>
          <t xml:space="preserve">
Bảng tra số 1 - Phụ lục 15 Quy trình 22TCN18-79
</t>
        </r>
      </text>
    </comment>
  </commentList>
</comments>
</file>

<file path=xl/sharedStrings.xml><?xml version="1.0" encoding="utf-8"?>
<sst xmlns="http://schemas.openxmlformats.org/spreadsheetml/2006/main" count="1507" uniqueCount="588">
  <si>
    <t>MNTC</t>
  </si>
  <si>
    <t>C§§B</t>
  </si>
  <si>
    <t>H</t>
  </si>
  <si>
    <t>h</t>
  </si>
  <si>
    <t>A</t>
  </si>
  <si>
    <t>B</t>
  </si>
  <si>
    <t>F</t>
  </si>
  <si>
    <t>C</t>
  </si>
  <si>
    <t>h1</t>
  </si>
  <si>
    <t>(m)</t>
  </si>
  <si>
    <t>U</t>
  </si>
  <si>
    <t>k</t>
  </si>
  <si>
    <t>n</t>
  </si>
  <si>
    <t>m</t>
  </si>
  <si>
    <t>VP =</t>
  </si>
  <si>
    <t>=&gt;</t>
  </si>
  <si>
    <t>D</t>
  </si>
  <si>
    <t>VËy ta chän chiÒu dµy líp bª t«ng bÞt ®¸y lµ:  h =</t>
  </si>
  <si>
    <t>Khi tÜnh kh«ng gi÷a hai hµng cäc lín nhÊt &gt; 3.h th× cÇn kiÓm tra chÞu uèn.</t>
  </si>
  <si>
    <t>b</t>
  </si>
  <si>
    <t>L</t>
  </si>
  <si>
    <t>p</t>
  </si>
  <si>
    <t>(T/m)</t>
  </si>
  <si>
    <t>W</t>
  </si>
  <si>
    <t>VT =</t>
  </si>
  <si>
    <t>(T)</t>
  </si>
  <si>
    <t>h'</t>
  </si>
  <si>
    <t>(a)</t>
  </si>
  <si>
    <t>(b)</t>
  </si>
  <si>
    <t>Víi:</t>
  </si>
  <si>
    <t>Theo ®iÒu kiÖn trªn trÞ sè tÝnh to¸n cña VP =</t>
  </si>
  <si>
    <t>TÝnh khèi l­îng cäc v¸n thÐp</t>
  </si>
  <si>
    <t>Sè l­îng =</t>
  </si>
  <si>
    <t>TL ®¬n vÞ =</t>
  </si>
  <si>
    <t>ChiÒu dµi =</t>
  </si>
  <si>
    <t>Tæng khèi l­îng =</t>
  </si>
  <si>
    <t>kg/m</t>
  </si>
  <si>
    <t>Thanh</t>
  </si>
  <si>
    <t>kg</t>
  </si>
  <si>
    <t>TÝnh khèi l­îng khung chèng</t>
  </si>
  <si>
    <t>C§M§</t>
  </si>
  <si>
    <t>Khi c¶ hÖ bÞ ®Èy lªn, lùc ma s¸t gi÷a ®Êt víi CVT vµ CKN víi BTB§ kh«ng ®ñ ®Ó gi÷:</t>
  </si>
  <si>
    <t>Fcv + Fmscoc + Qcv+Qkc+Qbt &lt; Qnuoc</t>
  </si>
  <si>
    <t>Khi lùc ma s¸t gi÷a CVT vµ BTB§ kh«ng ®ñ gi÷ hÖ:</t>
  </si>
  <si>
    <t>Qbt + Fcv + Fmscoc &lt; Qnuoc</t>
  </si>
  <si>
    <t>Mpa =</t>
  </si>
  <si>
    <t>A. GENERAL (GIỚI THIỆU CHUNG)</t>
  </si>
  <si>
    <t xml:space="preserve"> - Standards (Tiêu chuẩn tính toán):</t>
  </si>
  <si>
    <t>+ Design code for temporary works for bridge construction 22TCN200-1989</t>
  </si>
  <si>
    <t>- Load types and overload factors - Table 13 - Article 2.23 - 22TCN200-1989</t>
  </si>
  <si>
    <t>(Quy trình thiết kế công trình và thiết bị phụ trợ thi công cầu 22TCN200-1989)</t>
  </si>
  <si>
    <t>(Tải trọng và hệ số tải trọng)</t>
  </si>
  <si>
    <t>+ Design code for bridge design - Limit state philosophy</t>
  </si>
  <si>
    <t>Load</t>
  </si>
  <si>
    <t>(Quy trình thiết kế cầu  theo trạng thái giới hạn 22TCN18-79)</t>
  </si>
  <si>
    <t xml:space="preserve"> - Software for calculation (Phần mềm tính toán): Midas/Civil.</t>
  </si>
  <si>
    <t xml:space="preserve"> - Material:</t>
  </si>
  <si>
    <t>Steel CT3 or equivalent:</t>
  </si>
  <si>
    <t>(Vật liệu:        Thép CT3 hoặc tương đương)</t>
  </si>
  <si>
    <t>R0 =</t>
  </si>
  <si>
    <t>kg/cm2</t>
  </si>
  <si>
    <t>Ru =</t>
  </si>
  <si>
    <t xml:space="preserve"> - Strata (Địa chất)</t>
  </si>
  <si>
    <t>Layer</t>
  </si>
  <si>
    <t>Level</t>
  </si>
  <si>
    <t>Depth</t>
  </si>
  <si>
    <t>Properties of soil</t>
  </si>
  <si>
    <t>Strata</t>
  </si>
  <si>
    <r>
      <t>g</t>
    </r>
    <r>
      <rPr>
        <vertAlign val="subscript"/>
        <sz val="11"/>
        <rFont val=".VnArial"/>
        <family val="2"/>
      </rPr>
      <t xml:space="preserve">0 </t>
    </r>
    <r>
      <rPr>
        <sz val="11"/>
        <rFont val=".VnArial"/>
        <family val="2"/>
      </rPr>
      <t>(T/m3)</t>
    </r>
  </si>
  <si>
    <r>
      <t xml:space="preserve">j </t>
    </r>
    <r>
      <rPr>
        <sz val="11"/>
        <rFont val=".VnArial"/>
        <family val="2"/>
      </rPr>
      <t>(</t>
    </r>
    <r>
      <rPr>
        <vertAlign val="superscript"/>
        <sz val="11"/>
        <rFont val=".VnArial"/>
        <family val="2"/>
      </rPr>
      <t>0</t>
    </r>
    <r>
      <rPr>
        <sz val="11"/>
        <rFont val=".VnArial"/>
        <family val="2"/>
      </rPr>
      <t>)</t>
    </r>
  </si>
  <si>
    <t>e</t>
  </si>
  <si>
    <t>W (%)</t>
  </si>
  <si>
    <r>
      <t xml:space="preserve">g </t>
    </r>
    <r>
      <rPr>
        <sz val="11"/>
        <rFont val=".VnArial"/>
        <family val="2"/>
      </rPr>
      <t>(T/m3)</t>
    </r>
  </si>
  <si>
    <r>
      <t>g</t>
    </r>
    <r>
      <rPr>
        <vertAlign val="subscript"/>
        <sz val="11"/>
        <rFont val=".VnArial"/>
        <family val="2"/>
      </rPr>
      <t xml:space="preserve">®n </t>
    </r>
    <r>
      <rPr>
        <sz val="11"/>
        <rFont val=".VnArial"/>
        <family val="2"/>
      </rPr>
      <t>(T/m3)</t>
    </r>
  </si>
  <si>
    <r>
      <t>K</t>
    </r>
    <r>
      <rPr>
        <vertAlign val="subscript"/>
        <sz val="11"/>
        <rFont val=".VnArial"/>
        <family val="2"/>
      </rPr>
      <t>a</t>
    </r>
  </si>
  <si>
    <r>
      <t>K</t>
    </r>
    <r>
      <rPr>
        <vertAlign val="subscript"/>
        <sz val="11"/>
        <rFont val="Arial"/>
        <family val="2"/>
      </rPr>
      <t>p</t>
    </r>
  </si>
  <si>
    <t>Layer 1</t>
  </si>
  <si>
    <t>Where:</t>
  </si>
  <si>
    <t>j :</t>
  </si>
  <si>
    <t>Ka:</t>
  </si>
  <si>
    <t>g :</t>
  </si>
  <si>
    <t>Unit weight of soil / Dung trọng tự nhiên của đất (T/m3).</t>
  </si>
  <si>
    <t>e :</t>
  </si>
  <si>
    <t>Data (Dữ liệu tính toán)</t>
  </si>
  <si>
    <t>Unit</t>
  </si>
  <si>
    <t>Symbol</t>
  </si>
  <si>
    <t>Value</t>
  </si>
  <si>
    <t xml:space="preserve">Top elevation of the steel sheet pile (Cao độ đỉnh cọc ván thép) </t>
  </si>
  <si>
    <t>CD1</t>
  </si>
  <si>
    <t>CD2</t>
  </si>
  <si>
    <t>Bottom foundation elevation (Cao độ đáy hố móng)</t>
  </si>
  <si>
    <t>CD3</t>
  </si>
  <si>
    <t>Tip of steel sheet pile elevation (Cao độ chân cọc ván thép)</t>
  </si>
  <si>
    <t>CD4</t>
  </si>
  <si>
    <t>Ground elevation (Cao độ mặt đất tự nhiên)</t>
  </si>
  <si>
    <t>CDMD</t>
  </si>
  <si>
    <t>Elevation of top of footing (Cao độ đỉnh bệ)</t>
  </si>
  <si>
    <t>CDDB</t>
  </si>
  <si>
    <t>Bottom footing elevation (Cao độ đáy bệ)</t>
  </si>
  <si>
    <t>CDDaB</t>
  </si>
  <si>
    <t>Construction water elevation (Cao độ mực nước thi công)</t>
  </si>
  <si>
    <t>Length of steel sheet pile (Chiều dài cọc ván thép)</t>
  </si>
  <si>
    <t>Depth of pitch (Chiều sâu hố móng)</t>
  </si>
  <si>
    <t>Hm</t>
  </si>
  <si>
    <t>Depth of sheet pile in soil (Chiều sâu ngàm trong đất cọc ván thép)</t>
  </si>
  <si>
    <t>t</t>
  </si>
  <si>
    <t>Sketch (Calculating for 1m steel sheet pile):</t>
  </si>
  <si>
    <t>- Due to active pressure</t>
  </si>
  <si>
    <t>p1</t>
  </si>
  <si>
    <t>p2</t>
  </si>
  <si>
    <t>- Due to passive pressure</t>
  </si>
  <si>
    <t>E1</t>
  </si>
  <si>
    <t>E2</t>
  </si>
  <si>
    <t>e1</t>
  </si>
  <si>
    <t>e2</t>
  </si>
  <si>
    <t>The minimum depth of sheet piles penetrated into earth under foundation shall be decided into consideration</t>
  </si>
  <si>
    <t>stability against rotation of sheet piles around axis at the final supporting point (point O)</t>
  </si>
  <si>
    <t>Checking formular (Công thức kiểm tra)</t>
  </si>
  <si>
    <r>
      <t>In which (Trong đó):</t>
    </r>
    <r>
      <rPr>
        <sz val="12"/>
        <rFont val="Symbol"/>
        <family val="1"/>
        <charset val="2"/>
      </rPr>
      <t/>
    </r>
  </si>
  <si>
    <t>(Tổng mô men giữ tác dụng lên cọc ván thép đối với trục quay).</t>
  </si>
  <si>
    <t>(Tổng mô men gây lật lên cọc ván thép đối với trục quay).</t>
  </si>
  <si>
    <t xml:space="preserve"> m - Work condition factor (Hệ số điều kiện làm việc).</t>
  </si>
  <si>
    <t>The depth of sheet pile</t>
  </si>
  <si>
    <t>(Cao độ chân cọc ván thép)</t>
  </si>
  <si>
    <t>(Chiều sâu ngàm CVT)</t>
  </si>
  <si>
    <t>VP</t>
  </si>
  <si>
    <t>VT</t>
  </si>
  <si>
    <t>(T.m)</t>
  </si>
  <si>
    <t>Conclusion:</t>
  </si>
  <si>
    <t>Real depth of sheet pile t =</t>
  </si>
  <si>
    <t>&gt;</t>
  </si>
  <si>
    <t>Kết luận:</t>
  </si>
  <si>
    <t>Chiều sâu chôn cọc thực tế t =</t>
  </si>
  <si>
    <t>2. Check the cofferdam (kiểm toán cường độ cọc ván thép)</t>
  </si>
  <si>
    <t>Sơ đồ tính (Tính với dải cọc ván thép 1m)</t>
  </si>
  <si>
    <t>a. Horizontal pressure unit (Áp lực ngang đơn vị).</t>
  </si>
  <si>
    <t xml:space="preserve"> - Due to active pressure:</t>
  </si>
  <si>
    <t>Unfactored / Tiêu chuẩn (T/m)</t>
  </si>
  <si>
    <t>Factored / Tính toán (T/m)</t>
  </si>
  <si>
    <t>b. Calculation and check (Tính toán và kiểm toán tiết diện)</t>
  </si>
  <si>
    <t xml:space="preserve">Steel sheet </t>
  </si>
  <si>
    <t>Decrease</t>
  </si>
  <si>
    <t>s</t>
  </si>
  <si>
    <t>Ru</t>
  </si>
  <si>
    <t>Conclusion</t>
  </si>
  <si>
    <t>pile</t>
  </si>
  <si>
    <t>(cm3)</t>
  </si>
  <si>
    <t>coefficient</t>
  </si>
  <si>
    <t>(kG.m)</t>
  </si>
  <si>
    <t>(kg/cm2)</t>
  </si>
  <si>
    <t>Larsen IV</t>
  </si>
  <si>
    <t>Elevation of the first shoring (Cao độ của tầng khung chống thứ nhất)</t>
  </si>
  <si>
    <t>Load / Tải trọng</t>
  </si>
  <si>
    <t>Factor load / Hệ số tải trọng</t>
  </si>
  <si>
    <t>Earh pressure / Áp lực ngang của đất</t>
  </si>
  <si>
    <t xml:space="preserve"> + Passive pressure / Do đất bị động</t>
  </si>
  <si>
    <t>Steel structure / Trọng lượng bản thân</t>
  </si>
  <si>
    <t>Specific gravity / Trọng lượng thể tích của hạt đất (T/m3).</t>
  </si>
  <si>
    <t>Thickness of bottom sealing concrete (Chiều dày bê tông bịt đáy)</t>
  </si>
  <si>
    <t>Bottom of sheet pile elevation</t>
  </si>
  <si>
    <t>Sử dụng Midas Civil để tính toán ta được kết quả biểu đồ mô men và phản lực gối như trên</t>
  </si>
  <si>
    <t>(Use Midas Civil, we have moment diagram and reaction as above)</t>
  </si>
  <si>
    <t>- Check the strength of steel sheet pile (Kiểm toán cường độ cọc ván thép)</t>
  </si>
  <si>
    <r>
      <t>g</t>
    </r>
    <r>
      <rPr>
        <vertAlign val="subscript"/>
        <sz val="11"/>
        <rFont val="Symbol"/>
        <family val="1"/>
        <charset val="2"/>
      </rPr>
      <t>0</t>
    </r>
    <r>
      <rPr>
        <sz val="11"/>
        <rFont val="Symbol"/>
        <family val="1"/>
        <charset val="2"/>
      </rPr>
      <t xml:space="preserve"> :</t>
    </r>
  </si>
  <si>
    <r>
      <t>K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= tan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(45 - 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/2)</t>
    </r>
  </si>
  <si>
    <r>
      <t>Angle of friction of soil / Góc ma sát trong của đất (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).</t>
    </r>
  </si>
  <si>
    <r>
      <t>K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tan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(45 +</t>
    </r>
    <r>
      <rPr>
        <sz val="11"/>
        <rFont val="Symbol"/>
        <family val="1"/>
        <charset val="2"/>
      </rPr>
      <t xml:space="preserve"> j</t>
    </r>
    <r>
      <rPr>
        <sz val="11"/>
        <rFont val="Arial"/>
        <family val="2"/>
      </rPr>
      <t>/2)</t>
    </r>
  </si>
  <si>
    <r>
      <t>K</t>
    </r>
    <r>
      <rPr>
        <vertAlign val="subscript"/>
        <sz val="11"/>
        <rFont val=".VnArial"/>
        <family val="2"/>
      </rPr>
      <t>p</t>
    </r>
    <r>
      <rPr>
        <sz val="11"/>
        <rFont val=".VnArial"/>
        <family val="2"/>
      </rPr>
      <t>:</t>
    </r>
  </si>
  <si>
    <r>
      <t>H</t>
    </r>
    <r>
      <rPr>
        <vertAlign val="subscript"/>
        <sz val="11"/>
        <rFont val=".VnArial"/>
        <family val="2"/>
      </rPr>
      <t>bd</t>
    </r>
  </si>
  <si>
    <r>
      <t xml:space="preserve"> </t>
    </r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Mg -  Sum of moment of earth pressure on the wall of sheet piles above its rotation axis (overturn point).</t>
    </r>
  </si>
  <si>
    <r>
      <t xml:space="preserve"> </t>
    </r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 xml:space="preserve"> - Sum of moment of earth pressure on the wall of sheet piles under its rotation axis (overturn point).</t>
    </r>
  </si>
  <si>
    <r>
      <t>Calculate the minimum depth of sheet pile t</t>
    </r>
    <r>
      <rPr>
        <vertAlign val="subscript"/>
        <sz val="11"/>
        <rFont val="Arial"/>
        <family val="2"/>
      </rPr>
      <t>min</t>
    </r>
  </si>
  <si>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 xml:space="preserve"> </t>
    </r>
  </si>
  <si>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</t>
    </r>
  </si>
  <si>
    <r>
      <t>t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(m)</t>
    </r>
  </si>
  <si>
    <r>
      <t>t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=</t>
    </r>
  </si>
  <si>
    <r>
      <t>W</t>
    </r>
    <r>
      <rPr>
        <vertAlign val="subscript"/>
        <sz val="11"/>
        <rFont val="Arial"/>
        <family val="2"/>
      </rPr>
      <t>1mdài</t>
    </r>
  </si>
  <si>
    <r>
      <t>W</t>
    </r>
    <r>
      <rPr>
        <vertAlign val="subscript"/>
        <sz val="11"/>
        <rFont val="Arial"/>
        <family val="2"/>
      </rPr>
      <t>thực tế</t>
    </r>
  </si>
  <si>
    <r>
      <t>M</t>
    </r>
    <r>
      <rPr>
        <vertAlign val="subscript"/>
        <sz val="11"/>
        <rFont val="Arial"/>
        <family val="2"/>
      </rPr>
      <t>max</t>
    </r>
  </si>
  <si>
    <t>C. TÍNH TOÁN VÀ KIỂM TRA CỌC VÁN THÉP GIAI ĐOẠN SAU KHI ĐỔ BÊ TÔNG BỊT ĐÁY VÀ HÚT CẠN NƯỚC HỐ MÓNG</t>
  </si>
  <si>
    <t>a. Horizontal pressure unit (Áp lực ngang đơn vị)</t>
  </si>
  <si>
    <t>b. Horizontal pressure (Áp lực ngang)</t>
  </si>
  <si>
    <r>
      <t>Calculate the minimum depth of sheet pile t</t>
    </r>
    <r>
      <rPr>
        <b/>
        <vertAlign val="subscript"/>
        <sz val="11"/>
        <rFont val="Arial"/>
        <family val="2"/>
      </rPr>
      <t>min</t>
    </r>
    <r>
      <rPr>
        <b/>
        <sz val="11"/>
        <rFont val="Arial"/>
        <family val="2"/>
      </rPr>
      <t xml:space="preserve"> (Tính toán chiều sâu chôn cọc ván thép tối thiểu t</t>
    </r>
    <r>
      <rPr>
        <b/>
        <vertAlign val="subscript"/>
        <sz val="11"/>
        <rFont val="Arial"/>
        <family val="2"/>
      </rPr>
      <t>min</t>
    </r>
    <r>
      <rPr>
        <b/>
        <sz val="11"/>
        <rFont val="Arial"/>
        <family val="2"/>
      </rPr>
      <t>):</t>
    </r>
  </si>
  <si>
    <t>- Due to the water</t>
  </si>
  <si>
    <t>Water pressure / Áp lực ngang của nước</t>
  </si>
  <si>
    <t>Moment diagram</t>
  </si>
  <si>
    <t>Reaction</t>
  </si>
  <si>
    <t>R1</t>
  </si>
  <si>
    <t>R2</t>
  </si>
  <si>
    <t>1. Horizontal pressure unit / Áp lực ngang đơn vị</t>
  </si>
  <si>
    <t>Mpa</t>
  </si>
  <si>
    <t>Tên thanh</t>
  </si>
  <si>
    <t>q (T/m)</t>
  </si>
  <si>
    <r>
      <t xml:space="preserve">l </t>
    </r>
    <r>
      <rPr>
        <sz val="11"/>
        <rFont val="Arial"/>
        <family val="2"/>
      </rPr>
      <t>(m)</t>
    </r>
  </si>
  <si>
    <r>
      <t>Wx (cm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</si>
  <si>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Wy (cm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</si>
  <si>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F (cm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</si>
  <si>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Factored / Tính toán (kG/m)</t>
  </si>
  <si>
    <t>§é</t>
  </si>
  <si>
    <t>§é lÖch t©m t−¬ng ®èi i (xem ®iÒu 3.39)</t>
  </si>
  <si>
    <t>m¶nh</t>
  </si>
  <si>
    <t xml:space="preserve">λ </t>
  </si>
  <si>
    <t>KÕt luËn</t>
  </si>
  <si>
    <t>(kg)</t>
  </si>
  <si>
    <r>
      <t>r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(cm)</t>
    </r>
  </si>
  <si>
    <r>
      <t>Jx (cm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</si>
  <si>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Jy (cm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</si>
  <si>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t>Kiểm toán cường độ hệ khung chống / Check the strength of shoring</t>
  </si>
  <si>
    <t xml:space="preserve">CALCULATION AND CHECK STEEL SHEET PILE WHEN INSTALLED SEALING CONCRETE AND PUMP THE WATER IN THE FOUNDATION </t>
  </si>
  <si>
    <r>
      <t>(m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</si>
  <si>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r>
      <t>Q</t>
    </r>
    <r>
      <rPr>
        <vertAlign val="subscript"/>
        <sz val="10"/>
        <rFont val=".VnArial"/>
        <family val="2"/>
      </rPr>
      <t>cv</t>
    </r>
  </si>
  <si>
    <r>
      <t>Q</t>
    </r>
    <r>
      <rPr>
        <vertAlign val="subscript"/>
        <sz val="10"/>
        <rFont val=".VnArial"/>
        <family val="2"/>
      </rPr>
      <t>kc</t>
    </r>
  </si>
  <si>
    <r>
      <t>F</t>
    </r>
    <r>
      <rPr>
        <vertAlign val="subscript"/>
        <sz val="10"/>
        <rFont val=".VnArial"/>
        <family val="2"/>
      </rPr>
      <t>cv</t>
    </r>
  </si>
  <si>
    <r>
      <t>F</t>
    </r>
    <r>
      <rPr>
        <vertAlign val="subscript"/>
        <sz val="10"/>
        <rFont val=".VnArial"/>
        <family val="2"/>
      </rPr>
      <t>bd</t>
    </r>
  </si>
  <si>
    <r>
      <t>F</t>
    </r>
    <r>
      <rPr>
        <vertAlign val="superscript"/>
        <sz val="10"/>
        <rFont val=".VnArial"/>
        <family val="2"/>
      </rPr>
      <t>ms</t>
    </r>
    <r>
      <rPr>
        <vertAlign val="subscript"/>
        <sz val="10"/>
        <rFont val=".VnArial"/>
        <family val="2"/>
      </rPr>
      <t>cäc</t>
    </r>
  </si>
  <si>
    <r>
      <t>Q</t>
    </r>
    <r>
      <rPr>
        <vertAlign val="subscript"/>
        <sz val="10"/>
        <rFont val=".VnArial"/>
        <family val="2"/>
      </rPr>
      <t>n­íc</t>
    </r>
  </si>
  <si>
    <r>
      <t>g</t>
    </r>
    <r>
      <rPr>
        <vertAlign val="subscript"/>
        <sz val="10"/>
        <rFont val=".VnArial"/>
        <family val="2"/>
      </rPr>
      <t>n</t>
    </r>
  </si>
  <si>
    <r>
      <t>(T/m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>)</t>
    </r>
  </si>
  <si>
    <r>
      <t>g</t>
    </r>
    <r>
      <rPr>
        <vertAlign val="subscript"/>
        <sz val="10"/>
        <rFont val=".VnArial"/>
        <family val="2"/>
      </rPr>
      <t>b</t>
    </r>
  </si>
  <si>
    <r>
      <t>f</t>
    </r>
    <r>
      <rPr>
        <vertAlign val="subscript"/>
        <sz val="10"/>
        <rFont val=".VnArial"/>
        <family val="2"/>
      </rPr>
      <t>1</t>
    </r>
  </si>
  <si>
    <r>
      <t>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</si>
  <si>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r>
      <t>f</t>
    </r>
    <r>
      <rPr>
        <vertAlign val="subscript"/>
        <sz val="10"/>
        <rFont val=".VnArial"/>
        <family val="2"/>
      </rPr>
      <t>2</t>
    </r>
    <r>
      <rPr>
        <sz val="10"/>
        <rFont val="Arial"/>
      </rPr>
      <t/>
    </r>
  </si>
  <si>
    <r>
      <t>f</t>
    </r>
    <r>
      <rPr>
        <vertAlign val="subscript"/>
        <sz val="10"/>
        <rFont val=".VnArial"/>
        <family val="2"/>
      </rPr>
      <t>3</t>
    </r>
    <r>
      <rPr>
        <sz val="10"/>
        <rFont val="Arial"/>
      </rPr>
      <t/>
    </r>
  </si>
  <si>
    <r>
      <t>h</t>
    </r>
    <r>
      <rPr>
        <vertAlign val="subscript"/>
        <sz val="10"/>
        <rFont val=".VnArial"/>
        <family val="2"/>
      </rPr>
      <t>0</t>
    </r>
  </si>
  <si>
    <r>
      <t>(m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>)</t>
    </r>
  </si>
  <si>
    <r>
      <t>R</t>
    </r>
    <r>
      <rPr>
        <vertAlign val="subscript"/>
        <sz val="10"/>
        <rFont val=".VnArial"/>
        <family val="2"/>
      </rPr>
      <t>k</t>
    </r>
  </si>
  <si>
    <r>
      <t>T/m</t>
    </r>
    <r>
      <rPr>
        <vertAlign val="superscript"/>
        <sz val="10"/>
        <rFont val=".VnArial"/>
        <family val="2"/>
      </rPr>
      <t>2</t>
    </r>
  </si>
  <si>
    <t>Tính khối lượng khung chống</t>
  </si>
  <si>
    <t>KL 1 thanh</t>
  </si>
  <si>
    <t>Số lượng</t>
  </si>
  <si>
    <t>Tổng KL</t>
  </si>
  <si>
    <r>
      <t>Q</t>
    </r>
    <r>
      <rPr>
        <vertAlign val="subscript"/>
        <sz val="10"/>
        <rFont val=".VnArial"/>
        <family val="2"/>
      </rPr>
      <t>B§</t>
    </r>
  </si>
  <si>
    <r>
      <t>s</t>
    </r>
    <r>
      <rPr>
        <vertAlign val="subscript"/>
        <sz val="11"/>
        <rFont val=".VnArial"/>
        <family val="2"/>
      </rPr>
      <t>N</t>
    </r>
  </si>
  <si>
    <r>
      <t>s</t>
    </r>
    <r>
      <rPr>
        <vertAlign val="subscript"/>
        <sz val="11"/>
        <rFont val=".VnArial"/>
        <family val="2"/>
      </rPr>
      <t>M</t>
    </r>
  </si>
  <si>
    <r>
      <t>s</t>
    </r>
    <r>
      <rPr>
        <vertAlign val="subscript"/>
        <sz val="11"/>
        <rFont val=".VnArial"/>
        <family val="2"/>
      </rPr>
      <t>M+N</t>
    </r>
  </si>
  <si>
    <t>(The thickness of bottom sealing concrete)</t>
  </si>
  <si>
    <r>
      <t>f</t>
    </r>
    <r>
      <rPr>
        <vertAlign val="subscript"/>
        <sz val="10"/>
        <rFont val=".VnArial"/>
        <family val="2"/>
      </rPr>
      <t>®n</t>
    </r>
  </si>
  <si>
    <r>
      <t>q</t>
    </r>
    <r>
      <rPr>
        <vertAlign val="subscript"/>
        <sz val="10"/>
        <rFont val=".VnArial"/>
        <family val="2"/>
      </rPr>
      <t>bt</t>
    </r>
  </si>
  <si>
    <t>Wx</t>
  </si>
  <si>
    <r>
      <t>(cm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</si>
  <si>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(cm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</si>
  <si>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2. Tính toán và kiểm tra cường độ cọc ván thép / Calculate and check the strength of steel sheet pile</t>
  </si>
  <si>
    <r>
      <t>Q</t>
    </r>
    <r>
      <rPr>
        <vertAlign val="subscript"/>
        <sz val="10"/>
        <rFont val=".VnArial"/>
        <family val="2"/>
      </rPr>
      <t>kc</t>
    </r>
    <r>
      <rPr>
        <sz val="10"/>
        <rFont val=".VnArial"/>
        <family val="2"/>
      </rPr>
      <t xml:space="preserve"> + Q</t>
    </r>
    <r>
      <rPr>
        <vertAlign val="subscript"/>
        <sz val="10"/>
        <rFont val=".VnArial"/>
        <family val="2"/>
      </rPr>
      <t>cv</t>
    </r>
    <r>
      <rPr>
        <sz val="10"/>
        <rFont val=".VnArial"/>
        <family val="2"/>
      </rPr>
      <t xml:space="preserve"> + F</t>
    </r>
    <r>
      <rPr>
        <vertAlign val="subscript"/>
        <sz val="10"/>
        <rFont val=".VnArial"/>
        <family val="2"/>
      </rPr>
      <t>cv</t>
    </r>
    <r>
      <rPr>
        <sz val="10"/>
        <rFont val=".VnArial"/>
        <family val="2"/>
      </rPr>
      <t xml:space="preserve"> &gt; F</t>
    </r>
    <r>
      <rPr>
        <vertAlign val="subscript"/>
        <sz val="10"/>
        <rFont val=".VnArial"/>
        <family val="2"/>
      </rPr>
      <t>bd</t>
    </r>
    <r>
      <rPr>
        <sz val="10"/>
        <rFont val=".VnArial"/>
        <family val="2"/>
      </rPr>
      <t xml:space="preserve"> =&gt; sö dông c«ng thøc / Use formular (a)</t>
    </r>
  </si>
  <si>
    <r>
      <t>Q</t>
    </r>
    <r>
      <rPr>
        <vertAlign val="subscript"/>
        <sz val="10"/>
        <rFont val=".VnArial"/>
        <family val="2"/>
      </rPr>
      <t>kc</t>
    </r>
    <r>
      <rPr>
        <sz val="10"/>
        <rFont val=".VnArial"/>
        <family val="2"/>
      </rPr>
      <t xml:space="preserve"> + Q</t>
    </r>
    <r>
      <rPr>
        <vertAlign val="subscript"/>
        <sz val="10"/>
        <rFont val=".VnArial"/>
        <family val="2"/>
      </rPr>
      <t>cv</t>
    </r>
    <r>
      <rPr>
        <sz val="10"/>
        <rFont val=".VnArial"/>
        <family val="2"/>
      </rPr>
      <t xml:space="preserve"> + F</t>
    </r>
    <r>
      <rPr>
        <vertAlign val="subscript"/>
        <sz val="10"/>
        <rFont val=".VnArial"/>
        <family val="2"/>
      </rPr>
      <t>cv</t>
    </r>
    <r>
      <rPr>
        <sz val="10"/>
        <rFont val=".VnArial"/>
        <family val="2"/>
      </rPr>
      <t xml:space="preserve"> &lt; F</t>
    </r>
    <r>
      <rPr>
        <vertAlign val="subscript"/>
        <sz val="10"/>
        <rFont val=".VnArial"/>
        <family val="2"/>
      </rPr>
      <t>bd</t>
    </r>
    <r>
      <rPr>
        <sz val="10"/>
        <rFont val=".VnArial"/>
        <family val="2"/>
      </rPr>
      <t xml:space="preserve"> =&gt; sö dông c«ng thøc / Use formular (b)</t>
    </r>
  </si>
  <si>
    <t>As application above, we have value of VP =</t>
  </si>
  <si>
    <t>(When the maximum distance between 2 rows pile &gt; 3h, must to check durability)</t>
  </si>
  <si>
    <t>Cấu tạo / Structural</t>
  </si>
  <si>
    <t>Cấu tạo khung chống / Structural of shoring</t>
  </si>
  <si>
    <t>Sơ đồ tính toán / Calculation diagram</t>
  </si>
  <si>
    <t>Layer 2</t>
  </si>
  <si>
    <t>Low plastic clay (CL), mixed with shell, museal, grit, insert into small sand layer</t>
  </si>
  <si>
    <t>Poorly graded sand (SP), yellowish grey, soft structure to medium tight structure.</t>
  </si>
  <si>
    <t>Layer 3</t>
  </si>
  <si>
    <t>Granite to be weathered into cracked state, livid, white spot, hardness grade VII-VIII</t>
  </si>
  <si>
    <t>Porosity coefficient of soil / Hệ số rỗng của đất.</t>
  </si>
  <si>
    <t>The order of construction / Trình tự thi công hố móng:</t>
  </si>
  <si>
    <t>1- Install sheet pile to the design elevation / Rung hạ cọc ván thép đến cao độ thiết kế.</t>
  </si>
  <si>
    <t>We will calculate with 2 unfavorable case / Ta tiến hành tính toán với 2 trường hợp bất lợi đó là:</t>
  </si>
  <si>
    <t>(Trường hợp 2: Tính cho giai đoạn sau khi hút cạn nước trong hố móng)</t>
  </si>
  <si>
    <t>CD2'</t>
  </si>
  <si>
    <t>Bottom of layer 1 elevation (Cao độ đáy lớp địa chất 1)</t>
  </si>
  <si>
    <t>DC1</t>
  </si>
  <si>
    <t>E3</t>
  </si>
  <si>
    <t>e3</t>
  </si>
  <si>
    <t>(Chiều sâu chôn cọc tối thiểu tmin được xác định theo điều kiện đảm bảo ổn định chống lật đối với tâm quay O)</t>
  </si>
  <si>
    <t>A. Calculate the resistance of the back pressure of sealing concrete / TÝnh vÒ kh¶ n¨ng chÞu ®Èy næi cña líp bª t«ng:</t>
  </si>
  <si>
    <t>1. Data for calculation / D÷ liÖu tÝnh to¸n:</t>
  </si>
  <si>
    <t>a. Data of elevation / D÷ liÖu vÒ cao ®é:</t>
  </si>
  <si>
    <t>Construction water level / Mùc n­íc thi c«ng:</t>
  </si>
  <si>
    <t>Foundation bottom level / Cao ®é ®¸y bÖ:</t>
  </si>
  <si>
    <t>The thickness of sealing concrete / ChiÒu dµy líp BTB§:</t>
  </si>
  <si>
    <t xml:space="preserve">Distance from MNTC to foundation bottom / ChiÒu cao tõ MNTC ®Õn ®¸y bÖ </t>
  </si>
  <si>
    <t>The length of steel sheet pile / ChiÒu dµi cäc v¸n thÐp:</t>
  </si>
  <si>
    <t>Sheet pile bottom level / Cao ®é ch©n cäc v¸n thÐp:</t>
  </si>
  <si>
    <t>Ground level / Cao ®é mÆt ®Êt:</t>
  </si>
  <si>
    <t>Depth of sheet pile in soil / ChiÒu s©u ngµm trong ®Êt cña cäc v¸n thÐp:</t>
  </si>
  <si>
    <t>Distance from MNTC to sealing concrete bottom / ChiÒu cao tõ MNTC ®Õn ®¸y BTB§:</t>
  </si>
  <si>
    <t>b. Data of foundation / D÷ liÖu vÒ hè mãng:</t>
  </si>
  <si>
    <t>The width of foundation / ChiÒu réng hè mãng:</t>
  </si>
  <si>
    <t>The length of foundation / ChiÒu dµi hè mãng:</t>
  </si>
  <si>
    <t>The Area of foundation / DiÖn tÝch hè mãng:</t>
  </si>
  <si>
    <t>The circumference of foundation / Chu vi hè mãng:</t>
  </si>
  <si>
    <t>c. Data of pile in the foundation / D÷ liÖu vÒ cäc trong mãng:</t>
  </si>
  <si>
    <t>The dimension of pile / KÝch th­íc cäc:</t>
  </si>
  <si>
    <t>The circumference of pile / Chu vi cäc:</t>
  </si>
  <si>
    <t>The quantity of pile / Sè l­îng cäc:</t>
  </si>
  <si>
    <t>d. Data of steel sheet pile, shoring and sealing concrete / D÷ liÖu vÒ cäc v¸n thÐp, khung chèng vµ BTB§:</t>
  </si>
  <si>
    <t>Weight of sheet pile / Khèi l­îng cäc v¸n thÐp:</t>
  </si>
  <si>
    <t>Weight of shoring / Khèi l­îng khung chèng:</t>
  </si>
  <si>
    <t>Friction between soil and sheet pile / Lùc dÝnh b¸m gi÷a ®Êt víi cäc v¸n thÐp:</t>
  </si>
  <si>
    <t>Friction between sheet pile and sealing concrete / Lùc dÝnh b¸m gi÷a BTB§ víi cäc v¸n thÐp:</t>
  </si>
  <si>
    <t xml:space="preserve">Friction between sealing concrete and bored pile / Lực ma s¸t gi÷a BTB§ vµ cäc bª t«ng: </t>
  </si>
  <si>
    <t>Weight of sealing concrete / Khèi l­îng BTB§:</t>
  </si>
  <si>
    <t>Propulsive force of water affect to the sealing concrete / Lùc ®Èy næi cña n­íc t¸c dông vµo líp BTB§:</t>
  </si>
  <si>
    <t>e. Data of force and calculation coefficient / D÷ liÖu vÒ lùc vµ hÖ sè tÝnh to¸n:</t>
  </si>
  <si>
    <t>Unit weight of water / Träng l­îng riªng cña n­íc:</t>
  </si>
  <si>
    <t>Unit weight of concrete / Träng l­îng riªng cña bª t«ng B§:</t>
  </si>
  <si>
    <t>Unit friction between sealing concrete and Bored pile / Lùc dÝnh b¸m ®¬n vÞ gi÷a BTB§ víi cäc bª t«ng:</t>
  </si>
  <si>
    <t>Unit friction between sealing concrete and steel sheet pile / Lùc dÝnh b¸m ®¬n vÞ gi÷a BTB§ víi cäc v¸n thÐp:</t>
  </si>
  <si>
    <t>Unit friction between soil and sheet pile / Lùc dÝnh b¸m ®¬n vÞ gi÷a ®Êt víi cäc v¸n thÐp:</t>
  </si>
  <si>
    <t>Load factor / HÖ sè v­ît t¶i:</t>
  </si>
  <si>
    <t>Work condition factor / HÖ sè ®iÒu kiÖn lµm viÖc:</t>
  </si>
  <si>
    <t>2. Calculation the thickness of bottom sealing concrete / TÝnh to¸n chiÒu dµy líp Bª t«ng bÞt ®¸y:</t>
  </si>
  <si>
    <t>Check formular / C«ng thøc kiÓm tra:</t>
  </si>
  <si>
    <t>Application condition / §iÒu kiÖn ¸p dông c«ng thøc:</t>
  </si>
  <si>
    <t>Calculate right hand side / TÝnh vÕ ph¶i:</t>
  </si>
  <si>
    <t>3. Conclusion / KÕt luËn:</t>
  </si>
  <si>
    <t>B. Check durability in bending of bottom sealing concrete / Kiểm tra khả năng chÞu uèn cña líp bª t«ng:</t>
  </si>
  <si>
    <t>The width for calculation of sealing concrete / ChiÒu réng chÞu uèn tÝnh to¸n BTB§:</t>
  </si>
  <si>
    <r>
      <t>Affective sealing concrete / ChiÒu dµy cã hiÖu BTB§: h</t>
    </r>
    <r>
      <rPr>
        <vertAlign val="subscript"/>
        <sz val="10"/>
        <rFont val=".VnArial"/>
        <family val="2"/>
      </rPr>
      <t>0</t>
    </r>
    <r>
      <rPr>
        <sz val="10"/>
        <rFont val=".VnArial"/>
        <family val="2"/>
      </rPr>
      <t>=h-0.2(m)</t>
    </r>
  </si>
  <si>
    <t>The length of calculation span / KhÈu ®é chÞu uèn tÝnh to¸n BTB§:</t>
  </si>
  <si>
    <t>Section modulus of sealing concrete / M« men chèng uèn cña líp BTB§:</t>
  </si>
  <si>
    <r>
      <rPr>
        <sz val="10"/>
        <rFont val=".VnArial"/>
        <family val="2"/>
      </rPr>
      <t xml:space="preserve">Back pressure of water (1m length) / </t>
    </r>
    <r>
      <rPr>
        <sz val="10"/>
        <rFont val=".VnArialH"/>
        <family val="2"/>
      </rPr>
      <t>¸</t>
    </r>
    <r>
      <rPr>
        <sz val="10"/>
        <rFont val=".VnArial"/>
        <family val="2"/>
      </rPr>
      <t>p lùc ®Èy næi cña n­íc lªn 1m dµi BTB§:</t>
    </r>
  </si>
  <si>
    <t>Weight of 1m length of concrete / Träng l­îng 1m dµi BTB§:</t>
  </si>
  <si>
    <t>Subtraction of back pressure and weight of sealing concrete / HiÖu sè lùc ®Èy næi vµ träng l­îng BTB§:</t>
  </si>
  <si>
    <t>2. Calculation / TÝnh to¸n:</t>
  </si>
  <si>
    <t>Calculate left hand side / TÝnh vÕ tr¸i:</t>
  </si>
  <si>
    <t>Vị trí giữa phần tử</t>
  </si>
  <si>
    <t>Vị trí đầu phần tử</t>
  </si>
  <si>
    <t>Vị trí cuối phần tử</t>
  </si>
  <si>
    <t>s1</t>
  </si>
  <si>
    <t>s2</t>
  </si>
  <si>
    <t>s3</t>
  </si>
  <si>
    <t>Phần tử</t>
  </si>
  <si>
    <t>Tải trọng</t>
  </si>
  <si>
    <t>N (kG</t>
  </si>
  <si>
    <t>Mx (kG.m)</t>
  </si>
  <si>
    <t>My (kG.m)</t>
  </si>
  <si>
    <t>TT+TLBT</t>
  </si>
  <si>
    <t>Wy</t>
  </si>
  <si>
    <t>Momen diagram</t>
  </si>
  <si>
    <t>Element</t>
  </si>
  <si>
    <t>(kg.m)</t>
  </si>
  <si>
    <t>Cấu tạo tầng khung chống 1 / Structural of first shoring</t>
  </si>
  <si>
    <t>Use Midas Civil, we have the internal forces as below / Sử dụng Midas Civil tính toán ta có kết quả nội lực như sau:</t>
  </si>
  <si>
    <t>3- Install the first shoring / Lắp đặt tầng khung chống đầu tiên.</t>
  </si>
  <si>
    <t>4- Excavate the foundation to the second shoring elevation / Tiến hành đào đất hố móng đến cao độ tầng khung chống thứ nhất.</t>
  </si>
  <si>
    <t>5- Installl the second shoring / Lắp đặt tầng khung chống thứ 2.</t>
  </si>
  <si>
    <t>8- Pump water to the elevation of second shoring / Tiến hành hút nước hố móng đến cao độ tầng khung chống thứ 2.</t>
  </si>
  <si>
    <t>9- Install the second shoring / Lắp đặt tầng khung chống thứ 2.</t>
  </si>
  <si>
    <t>- Due to active pressure of soil</t>
  </si>
  <si>
    <t>- Due to passive pressure of soil</t>
  </si>
  <si>
    <t>- The Value of reaction / Giá trị phản lực gối</t>
  </si>
  <si>
    <t>Sketch (Calculating for 1m steel sheet pile) / Sơ đồ tính (tính với dải cọc ván thép 1m) :</t>
  </si>
  <si>
    <r>
      <t>N</t>
    </r>
    <r>
      <rPr>
        <vertAlign val="superscript"/>
        <sz val="11"/>
        <rFont val=".VnArial"/>
        <family val="2"/>
      </rPr>
      <t>tt</t>
    </r>
    <r>
      <rPr>
        <sz val="11"/>
        <rFont val="Arial"/>
        <family val="2"/>
      </rPr>
      <t xml:space="preserve"> </t>
    </r>
  </si>
  <si>
    <r>
      <t>Mx</t>
    </r>
    <r>
      <rPr>
        <vertAlign val="superscript"/>
        <sz val="11"/>
        <rFont val=".VnArial"/>
        <family val="2"/>
      </rPr>
      <t>tt</t>
    </r>
  </si>
  <si>
    <r>
      <t>My</t>
    </r>
    <r>
      <rPr>
        <vertAlign val="superscript"/>
        <sz val="11"/>
        <rFont val=".VnArial"/>
        <family val="2"/>
      </rPr>
      <t>tt</t>
    </r>
  </si>
  <si>
    <t>Bottom of layer 2 elevation (Cao độ đáy lớp địa chất 2)</t>
  </si>
  <si>
    <t>DC2</t>
  </si>
  <si>
    <t>Lean clay with sand, yellowish grey, brownish grey.</t>
  </si>
  <si>
    <r>
      <t>p</t>
    </r>
    <r>
      <rPr>
        <vertAlign val="subscript"/>
        <sz val="11"/>
        <rFont val=".VnArial"/>
        <family val="2"/>
      </rPr>
      <t>1</t>
    </r>
    <r>
      <rPr>
        <sz val="11"/>
        <rFont val=".VnArial"/>
        <family val="2"/>
      </rPr>
      <t xml:space="preserve">= </t>
    </r>
    <r>
      <rPr>
        <sz val="11"/>
        <rFont val="Symbol"/>
        <family val="1"/>
        <charset val="2"/>
      </rPr>
      <t>g</t>
    </r>
    <r>
      <rPr>
        <vertAlign val="subscript"/>
        <sz val="11"/>
        <rFont val=".VnArial"/>
        <family val="2"/>
      </rPr>
      <t>dn1</t>
    </r>
    <r>
      <rPr>
        <sz val="11"/>
        <rFont val=".VnArial"/>
        <family val="2"/>
      </rPr>
      <t xml:space="preserve"> * [CDMD - DC1] * K</t>
    </r>
    <r>
      <rPr>
        <vertAlign val="subscript"/>
        <sz val="11"/>
        <rFont val=".VnArial"/>
        <family val="2"/>
      </rPr>
      <t>a1</t>
    </r>
  </si>
  <si>
    <t>E1 = 1/2*p1*(CDMD-DC1)</t>
  </si>
  <si>
    <t>c. Distance from force "ei" to the center of rotation.</t>
  </si>
  <si>
    <t>B. TÍNH TOÁN VÀ KIỂM TRA CỌC VÁN THÉP KHI ĐÀO ĐẤT ĐẾN CAO ĐỘ ĐÁY MÓNG</t>
  </si>
  <si>
    <t>CALCULATION AND CHECK STEEL SHEET PILE WHEN EXCAVATION THE FOUNDATION TO THE DESIGN ELEVATION</t>
  </si>
  <si>
    <r>
      <rPr>
        <sz val="11"/>
        <rFont val="Symbol"/>
        <family val="1"/>
        <charset val="2"/>
      </rPr>
      <t xml:space="preserve"> S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=E1*e1+E2*e2+E3*e3</t>
    </r>
  </si>
  <si>
    <t>4- Excavate the foundation  to the design elevation / Đào đất hố móng đến cao độ thiết kế.</t>
  </si>
  <si>
    <t>5- Concreting seal / Đổ bê tông bịt đáy.</t>
  </si>
  <si>
    <t>6- Pump water out of pit / Tiến hành hút cạn nước trong hố móng.</t>
  </si>
  <si>
    <t>(Trường hợp 1: Tính cho giai đoạn đào đất trong nước đến cao độ đáy hố móng)</t>
  </si>
  <si>
    <r>
      <t xml:space="preserve">+ </t>
    </r>
    <r>
      <rPr>
        <b/>
        <u/>
        <sz val="11"/>
        <rFont val="Arial"/>
        <family val="2"/>
      </rPr>
      <t>Case 1</t>
    </r>
    <r>
      <rPr>
        <b/>
        <sz val="11"/>
        <rFont val="Arial"/>
        <family val="2"/>
      </rPr>
      <t>: Calculate when excavation the foundation to the design elevation.</t>
    </r>
  </si>
  <si>
    <r>
      <t xml:space="preserve">+ </t>
    </r>
    <r>
      <rPr>
        <b/>
        <u/>
        <sz val="11"/>
        <rFont val="Arial"/>
        <family val="2"/>
      </rPr>
      <t>Case 2</t>
    </r>
    <r>
      <rPr>
        <b/>
        <sz val="11"/>
        <rFont val="Arial"/>
        <family val="2"/>
      </rPr>
      <t>: Calculate with the stage after pump water out of pit.</t>
    </r>
  </si>
  <si>
    <t>1. Check the minimum depth of sheet pile to avoid of soil pushing (Article 4.33 - 22TCN200:1989)</t>
  </si>
  <si>
    <t>( Bỏ qua áp lực đất bị động )</t>
  </si>
  <si>
    <t>3. Check the shoring  (kiểm toán khung chống)</t>
  </si>
  <si>
    <t>Bar S1</t>
  </si>
  <si>
    <t>Bar S2</t>
  </si>
  <si>
    <t>Bar S3</t>
  </si>
  <si>
    <t>Elem</t>
  </si>
  <si>
    <t>Part</t>
  </si>
  <si>
    <t>Axial (tonf)</t>
  </si>
  <si>
    <t>Shear-y (tonf)</t>
  </si>
  <si>
    <t>Shear-z (tonf)</t>
  </si>
  <si>
    <t>Torsion (tonf·m)</t>
  </si>
  <si>
    <t>Moment-y (tonf·m)</t>
  </si>
  <si>
    <t>Moment-z (tonf·m)</t>
  </si>
  <si>
    <t>TINH TOAN</t>
  </si>
  <si>
    <t>I[1]</t>
  </si>
  <si>
    <t>J[2]</t>
  </si>
  <si>
    <t>I[2]</t>
  </si>
  <si>
    <t>J[13]</t>
  </si>
  <si>
    <t>I[13]</t>
  </si>
  <si>
    <t>J[3]</t>
  </si>
  <si>
    <t>I[3]</t>
  </si>
  <si>
    <t>J[4]</t>
  </si>
  <si>
    <t>J[5]</t>
  </si>
  <si>
    <t>I[5]</t>
  </si>
  <si>
    <t>I[6]</t>
  </si>
  <si>
    <t>I[4]</t>
  </si>
  <si>
    <t>J[6]</t>
  </si>
  <si>
    <t>J[7]</t>
  </si>
  <si>
    <t>J[8]</t>
  </si>
  <si>
    <t>I[7]</t>
  </si>
  <si>
    <t>J[9]</t>
  </si>
  <si>
    <t>I[11]</t>
  </si>
  <si>
    <t>I[12]</t>
  </si>
  <si>
    <t>I[8]</t>
  </si>
  <si>
    <t>J[10]</t>
  </si>
  <si>
    <t>I[9]</t>
  </si>
  <si>
    <t>J[11]</t>
  </si>
  <si>
    <t>J[14]</t>
  </si>
  <si>
    <t>I[14]</t>
  </si>
  <si>
    <t>J[12]</t>
  </si>
  <si>
    <t xml:space="preserve"> - Cao độ gối giả định / Level of Assumed restraint :</t>
  </si>
  <si>
    <t xml:space="preserve"> =</t>
  </si>
  <si>
    <t>L = CD2 - CD2'</t>
  </si>
  <si>
    <t>KG</t>
  </si>
  <si>
    <t>3. Tính toán và kiểm tra cường độ hệ khung chống / Calculate and check the shoring</t>
  </si>
  <si>
    <t>NOI LUC TANG KHUNG CHONG THU NHAT - CHUA HUT NUOC</t>
  </si>
  <si>
    <t>NOI LUC TANG KHUNG CHONG THU NHAT - KHI HUT CAN  NUOC</t>
  </si>
  <si>
    <t>Tensile strength of concrete / C­êng ®é chÞu kÐo cña bª t«ng:</t>
  </si>
  <si>
    <t>2I300x160x8x10</t>
  </si>
  <si>
    <t>I300x160x8x10</t>
  </si>
  <si>
    <t>QUANTITY TABLE OF MATERIAL</t>
  </si>
  <si>
    <t>TEMPORARY STRUCTURE</t>
  </si>
  <si>
    <t>Bridge</t>
  </si>
  <si>
    <t>Item</t>
  </si>
  <si>
    <t>Soil Excavation (m3)</t>
  </si>
  <si>
    <t>Bottom Sealing Concrete       (m3)</t>
  </si>
  <si>
    <t>Shoring     (T)</t>
  </si>
  <si>
    <t>Sheet pile Larsen IV  (T)</t>
  </si>
  <si>
    <t>Note</t>
  </si>
  <si>
    <t>No.29</t>
  </si>
  <si>
    <t>A1</t>
  </si>
  <si>
    <t xml:space="preserve"> Material of supporting and scafolding for Type B,D</t>
  </si>
  <si>
    <t>A2</t>
  </si>
  <si>
    <t xml:space="preserve">ID </t>
  </si>
  <si>
    <t xml:space="preserve">  Item</t>
  </si>
  <si>
    <t>Length</t>
  </si>
  <si>
    <t>Quantity</t>
  </si>
  <si>
    <t xml:space="preserve">Unit weight  </t>
  </si>
  <si>
    <t>Weight</t>
  </si>
  <si>
    <t>No.30</t>
  </si>
  <si>
    <t>P1</t>
  </si>
  <si>
    <t>Larsen IV,L=6m</t>
  </si>
  <si>
    <t>(mm)</t>
  </si>
  <si>
    <t>(kg/m)</t>
  </si>
  <si>
    <t>P2</t>
  </si>
  <si>
    <t>Larsen IV,L=9m</t>
  </si>
  <si>
    <t>2I400x155x8x13</t>
  </si>
  <si>
    <t>P3</t>
  </si>
  <si>
    <t>Larsen IV,L=12m</t>
  </si>
  <si>
    <t>P4</t>
  </si>
  <si>
    <t>P5</t>
  </si>
  <si>
    <t xml:space="preserve"> Total (kg)</t>
  </si>
  <si>
    <t>No.31</t>
  </si>
  <si>
    <t>No.32</t>
  </si>
  <si>
    <t xml:space="preserve"> Material of supporting and scafolding for Type C</t>
  </si>
  <si>
    <t>No.33</t>
  </si>
  <si>
    <t>No.34</t>
  </si>
  <si>
    <t>ToTal</t>
  </si>
  <si>
    <t>TÝnh cho P2-No34</t>
  </si>
  <si>
    <t xml:space="preserve"> + Active pressure / Do đất chủ động</t>
  </si>
  <si>
    <t>Active earth pressure coefficient / Hệ số áp lực ngang chủ động của đất.</t>
  </si>
  <si>
    <t>Passive earth pressure coefficient / Hệ số áp ngang bị động của đất.</t>
  </si>
  <si>
    <t>2- Excavate the foundation to the first shoring elevation / Tiến hành đào đất đến cao độ tầng khung chống thứ nhất.</t>
  </si>
  <si>
    <r>
      <t xml:space="preserve">    Tính toán chiều sâu ngàm tối thiểu t</t>
    </r>
    <r>
      <rPr>
        <b/>
        <vertAlign val="subscript"/>
        <sz val="11"/>
        <color indexed="12"/>
        <rFont val="Arial"/>
        <family val="2"/>
      </rPr>
      <t>min</t>
    </r>
    <r>
      <rPr>
        <b/>
        <sz val="11"/>
        <color indexed="12"/>
        <rFont val="Arial"/>
        <family val="2"/>
      </rPr>
      <t xml:space="preserve"> (Điều 4.33 - 22TCN200:1989)</t>
    </r>
  </si>
  <si>
    <t>Sơ đồ tính toán (Tính với dải 1m cọc ván thép)</t>
  </si>
  <si>
    <t xml:space="preserve">  (Do áp lực đất chủ động)</t>
  </si>
  <si>
    <t xml:space="preserve">  (Do áp lực đất bị động)</t>
  </si>
  <si>
    <t>CALCULATION OF COFFERDAM OF PIER TYPE C</t>
  </si>
  <si>
    <t>TÍNH TOÁN HỆ VÒNG VÂY CỌC VÁN THÉP THI CÔNG TRỤ LOẠI C</t>
  </si>
  <si>
    <t>p3</t>
  </si>
  <si>
    <t>e1 = 2/3 * (CD1 - CDMD)</t>
  </si>
  <si>
    <t>e4</t>
  </si>
  <si>
    <r>
      <rPr>
        <sz val="11"/>
        <rFont val="Symbol"/>
        <family val="1"/>
        <charset val="2"/>
      </rPr>
      <t xml:space="preserve"> S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>=E4*e4</t>
    </r>
  </si>
  <si>
    <t xml:space="preserve">   (Do áp lực đất chủ động)</t>
  </si>
  <si>
    <t>MD</t>
  </si>
  <si>
    <t>tmin/2</t>
  </si>
  <si>
    <t>Bar S4</t>
  </si>
  <si>
    <t>Biểu đồ mô men / Moment diagram (kg.m)</t>
  </si>
  <si>
    <t>Biểu đồ lực dọc / Axial Force (kg)</t>
  </si>
  <si>
    <r>
      <t>p</t>
    </r>
    <r>
      <rPr>
        <vertAlign val="subscript"/>
        <sz val="11"/>
        <rFont val=".VnArial"/>
        <family val="2"/>
      </rPr>
      <t>2</t>
    </r>
    <r>
      <rPr>
        <sz val="11"/>
        <rFont val=".VnArial"/>
        <family val="2"/>
      </rPr>
      <t xml:space="preserve">= </t>
    </r>
    <r>
      <rPr>
        <sz val="11"/>
        <rFont val="Symbol"/>
        <family val="1"/>
        <charset val="2"/>
      </rPr>
      <t>g</t>
    </r>
    <r>
      <rPr>
        <vertAlign val="subscript"/>
        <sz val="11"/>
        <rFont val=".VnArial"/>
        <family val="2"/>
      </rPr>
      <t>dn2</t>
    </r>
    <r>
      <rPr>
        <sz val="11"/>
        <rFont val=".VnArial"/>
        <family val="2"/>
      </rPr>
      <t xml:space="preserve"> * [DC1 - CD5] * K</t>
    </r>
    <r>
      <rPr>
        <vertAlign val="subscript"/>
        <sz val="11"/>
        <rFont val=".VnArial"/>
        <family val="2"/>
      </rPr>
      <t>a2</t>
    </r>
  </si>
  <si>
    <r>
      <t>p</t>
    </r>
    <r>
      <rPr>
        <vertAlign val="subscript"/>
        <sz val="11"/>
        <rFont val=".VnArial"/>
        <family val="2"/>
      </rPr>
      <t>3</t>
    </r>
    <r>
      <rPr>
        <sz val="11"/>
        <rFont val=".VnArial"/>
        <family val="2"/>
      </rPr>
      <t xml:space="preserve">= </t>
    </r>
    <r>
      <rPr>
        <sz val="11"/>
        <rFont val="Symbol"/>
        <family val="1"/>
        <charset val="2"/>
      </rPr>
      <t>g</t>
    </r>
    <r>
      <rPr>
        <vertAlign val="subscript"/>
        <sz val="11"/>
        <rFont val=".VnArial"/>
        <family val="2"/>
      </rPr>
      <t>dn2</t>
    </r>
    <r>
      <rPr>
        <sz val="11"/>
        <rFont val=".VnArial"/>
        <family val="2"/>
      </rPr>
      <t xml:space="preserve"> * [CD3 - CD5] * K</t>
    </r>
    <r>
      <rPr>
        <vertAlign val="subscript"/>
        <sz val="11"/>
        <rFont val=".VnArial"/>
        <family val="2"/>
      </rPr>
      <t>p2</t>
    </r>
  </si>
  <si>
    <t>CD5</t>
  </si>
  <si>
    <t>E2 = p1 * (DC1 - CD5)</t>
  </si>
  <si>
    <t>E3 = 1/2*p2 * (DC1-CD5)</t>
  </si>
  <si>
    <t>E4 =1/2* p3 * (CD3-CD5)</t>
  </si>
  <si>
    <t>e2 =(CDMD-CD5)-(CD1-DC5)/2</t>
  </si>
  <si>
    <t>e4 = (CD2-CD3) + 2/3*(CD3-CD5)</t>
  </si>
  <si>
    <t>e3 =(CDMD-CD5)-(CD5-DC1)/3</t>
  </si>
  <si>
    <t>Lấy tmin làm thử dần để VP&lt;=VT</t>
  </si>
  <si>
    <r>
      <t>p</t>
    </r>
    <r>
      <rPr>
        <vertAlign val="subscript"/>
        <sz val="11"/>
        <rFont val=".VnArial"/>
        <family val="2"/>
      </rPr>
      <t>2</t>
    </r>
    <r>
      <rPr>
        <sz val="11"/>
        <rFont val=".VnArial"/>
        <family val="2"/>
      </rPr>
      <t xml:space="preserve">= </t>
    </r>
    <r>
      <rPr>
        <sz val="11"/>
        <rFont val="Symbol"/>
        <family val="1"/>
        <charset val="2"/>
      </rPr>
      <t>g</t>
    </r>
    <r>
      <rPr>
        <vertAlign val="subscript"/>
        <sz val="11"/>
        <rFont val=".VnArial"/>
        <family val="2"/>
      </rPr>
      <t>dn2</t>
    </r>
    <r>
      <rPr>
        <sz val="11"/>
        <rFont val=".VnArial"/>
        <family val="2"/>
      </rPr>
      <t xml:space="preserve"> * [DC1 - CD6] * K</t>
    </r>
    <r>
      <rPr>
        <vertAlign val="subscript"/>
        <sz val="11"/>
        <rFont val=".VnArial"/>
        <family val="2"/>
      </rPr>
      <t>a2</t>
    </r>
  </si>
  <si>
    <t>CD6</t>
  </si>
  <si>
    <t>a=</t>
  </si>
  <si>
    <t>b=</t>
  </si>
  <si>
    <t>c=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</si>
  <si>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</si>
  <si>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</si>
  <si>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</si>
  <si>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</si>
  <si>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</si>
  <si>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</si>
  <si>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</si>
  <si>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</si>
  <si>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</si>
  <si>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</si>
  <si>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</si>
  <si>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</si>
  <si>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</si>
  <si>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</si>
  <si>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</si>
  <si>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</si>
  <si>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</si>
  <si>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</si>
  <si>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</si>
  <si>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</si>
  <si>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</si>
  <si>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</si>
  <si>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</si>
  <si>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</si>
  <si>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-2.33</t>
  </si>
  <si>
    <t>613.27</t>
  </si>
  <si>
    <t>1087.55</t>
  </si>
  <si>
    <t>1088.09</t>
  </si>
  <si>
    <t>1119.33</t>
  </si>
  <si>
    <t>1146.80</t>
  </si>
  <si>
    <t>136.16</t>
  </si>
  <si>
    <t>-1394.57</t>
  </si>
  <si>
    <t>-2.24</t>
  </si>
  <si>
    <t>674.05</t>
  </si>
  <si>
    <t>1209.02</t>
  </si>
  <si>
    <t>1211.60</t>
  </si>
  <si>
    <t>1460.69</t>
  </si>
  <si>
    <t>1.45</t>
  </si>
  <si>
    <t>1063.87</t>
  </si>
  <si>
    <t>3.47</t>
  </si>
  <si>
    <t>143.53</t>
  </si>
  <si>
    <t>0.94</t>
  </si>
  <si>
    <t>Biểu đồ mô men (kg.m)</t>
  </si>
  <si>
    <t>Phản lực gối tính toán (kg)</t>
  </si>
  <si>
    <t>1265.62</t>
  </si>
  <si>
    <t>-608.00</t>
  </si>
  <si>
    <t>704.81</t>
  </si>
  <si>
    <t>-750.78</t>
  </si>
  <si>
    <t>-2659.11</t>
  </si>
  <si>
    <t>-2354.11</t>
  </si>
  <si>
    <t>497.23</t>
  </si>
  <si>
    <t>-262.61</t>
  </si>
  <si>
    <t>-1778.31</t>
  </si>
  <si>
    <t>-2757.34</t>
  </si>
  <si>
    <t>-2785.46</t>
  </si>
  <si>
    <t>-2833.73</t>
  </si>
  <si>
    <t>-3269.00</t>
  </si>
  <si>
    <t>903.52</t>
  </si>
  <si>
    <t>2294.36</t>
  </si>
  <si>
    <t>-403.57</t>
  </si>
  <si>
    <t>-145.78</t>
  </si>
  <si>
    <t>-643.86</t>
  </si>
  <si>
    <t>-598.71</t>
  </si>
  <si>
    <t>733.58</t>
  </si>
  <si>
    <t>-435.28</t>
  </si>
  <si>
    <t>-45.16</t>
  </si>
  <si>
    <t>466.94</t>
  </si>
  <si>
    <t>979.03</t>
  </si>
  <si>
    <t>45.16</t>
  </si>
  <si>
    <t>-466.94</t>
  </si>
  <si>
    <t>-979.03</t>
  </si>
  <si>
    <t>435.28</t>
  </si>
  <si>
    <r>
      <t>p</t>
    </r>
    <r>
      <rPr>
        <vertAlign val="subscript"/>
        <sz val="11"/>
        <rFont val=".VnArial"/>
        <family val="2"/>
      </rPr>
      <t>2</t>
    </r>
    <r>
      <rPr>
        <sz val="11"/>
        <rFont val=".VnArial"/>
        <family val="2"/>
      </rPr>
      <t xml:space="preserve">= </t>
    </r>
    <r>
      <rPr>
        <sz val="11"/>
        <rFont val="Symbol"/>
        <family val="1"/>
        <charset val="2"/>
      </rPr>
      <t>g</t>
    </r>
    <r>
      <rPr>
        <vertAlign val="subscript"/>
        <sz val="11"/>
        <rFont val=".VnArial"/>
        <family val="2"/>
      </rPr>
      <t>dn2</t>
    </r>
    <r>
      <rPr>
        <sz val="11"/>
        <rFont val=".VnArial"/>
        <family val="2"/>
      </rPr>
      <t xml:space="preserve"> * [DC1 - CD2'] * K</t>
    </r>
    <r>
      <rPr>
        <vertAlign val="subscript"/>
        <sz val="11"/>
        <rFont val=".VnArial"/>
        <family val="2"/>
      </rPr>
      <t>a2</t>
    </r>
  </si>
  <si>
    <t xml:space="preserve">  (Do áp lực của nước)</t>
  </si>
  <si>
    <t>e1 = CDMD - DC1</t>
  </si>
  <si>
    <t>e2 = DC1 - CD2'</t>
  </si>
  <si>
    <t>Phản lực gối (kg)</t>
  </si>
  <si>
    <t>1047.02</t>
  </si>
  <si>
    <t>411.35</t>
  </si>
  <si>
    <t>-217.25</t>
  </si>
  <si>
    <t>-1471.16</t>
  </si>
  <si>
    <t>-502.98</t>
  </si>
  <si>
    <t>-2281.08</t>
  </si>
  <si>
    <t>-2304.35</t>
  </si>
  <si>
    <t>-2344.28</t>
  </si>
  <si>
    <t>-2704.38</t>
  </si>
  <si>
    <t>747.46</t>
  </si>
  <si>
    <t>1898.08</t>
  </si>
  <si>
    <t>583.07</t>
  </si>
  <si>
    <t>-333.86</t>
  </si>
  <si>
    <t>-120.60</t>
  </si>
  <si>
    <t>-532.65</t>
  </si>
  <si>
    <t>-621.10</t>
  </si>
  <si>
    <t>-495.30</t>
  </si>
  <si>
    <t>606.88</t>
  </si>
  <si>
    <t>-2199.82</t>
  </si>
  <si>
    <t>-1947.50</t>
  </si>
  <si>
    <t>tÝnh to¸n bª t«ng bÞt ®¸y THI C¤NG TRô lo¹i c</t>
  </si>
  <si>
    <t>calculaton of sealing concrete FOR PIER CONSTRUCTION type c</t>
  </si>
  <si>
    <r>
      <t>p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= </t>
    </r>
    <r>
      <rPr>
        <sz val="11"/>
        <rFont val="Symbol"/>
        <family val="1"/>
        <charset val="2"/>
      </rPr>
      <t>g</t>
    </r>
    <r>
      <rPr>
        <vertAlign val="subscript"/>
        <sz val="11"/>
        <rFont val="Arial"/>
        <family val="2"/>
      </rPr>
      <t>n</t>
    </r>
    <r>
      <rPr>
        <sz val="11"/>
        <rFont val="Arial"/>
        <family val="2"/>
      </rPr>
      <t xml:space="preserve"> * (MNTC - CD2')</t>
    </r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</si>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</sst>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72" formatCode="0.0"/>
    <numFmt numFmtId="174" formatCode="0.0&quot;(m)&quot;"/>
    <numFmt numFmtId="175" formatCode="0.000"/>
    <numFmt numFmtId="188" formatCode="0.000000"/>
    <numFmt numFmtId="189" formatCode="0.000&quot; m&quot;"/>
    <numFmt numFmtId="191" formatCode="&quot;=&gt;&quot;\ 0"/>
    <numFmt numFmtId="194" formatCode="_(* #,##0_);_(* \(#,##0\);_(* &quot;-&quot;??_);_(@_)"/>
    <numFmt numFmtId="198" formatCode="_(* #,##0_);_(* \(#,##0\);_(* &quot;-&quot;?_);_(@_)"/>
    <numFmt numFmtId="200" formatCode="0.00;\-0.00;&quot;-&quot;"/>
    <numFmt numFmtId="203" formatCode="\R\1\=0.00"/>
    <numFmt numFmtId="204" formatCode="\R\2\=0.00"/>
  </numFmts>
  <fonts count="51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.Vn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.VnArial"/>
      <family val="2"/>
    </font>
    <font>
      <vertAlign val="subscript"/>
      <sz val="11"/>
      <name val=".VnArial"/>
      <family val="2"/>
    </font>
    <font>
      <sz val="11"/>
      <name val="Symbol"/>
      <family val="1"/>
      <charset val="2"/>
    </font>
    <font>
      <vertAlign val="superscript"/>
      <sz val="11"/>
      <name val=".Vn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sz val="12"/>
      <name val="Symbol"/>
      <family val="1"/>
      <charset val="2"/>
    </font>
    <font>
      <sz val="10"/>
      <name val=".VnArial"/>
      <family val="2"/>
    </font>
    <font>
      <b/>
      <sz val="11"/>
      <name val="Arial"/>
      <family val="2"/>
    </font>
    <font>
      <vertAlign val="subscript"/>
      <sz val="11"/>
      <name val="Symbol"/>
      <family val="1"/>
      <charset val="2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2"/>
      <name val=".VnArial"/>
      <family val="2"/>
    </font>
    <font>
      <sz val="12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vertAlign val="subscript"/>
      <sz val="10"/>
      <name val=".VnArial"/>
      <family val="2"/>
    </font>
    <font>
      <i/>
      <sz val="10"/>
      <name val=".VnArial"/>
      <family val="2"/>
    </font>
    <font>
      <sz val="10"/>
      <name val="Symbol"/>
      <family val="1"/>
      <charset val="2"/>
    </font>
    <font>
      <b/>
      <sz val="10"/>
      <name val=".VnArial"/>
      <family val="2"/>
    </font>
    <font>
      <sz val="10"/>
      <name val=".VnArialH"/>
      <family val="2"/>
    </font>
    <font>
      <sz val="10"/>
      <color indexed="12"/>
      <name val=".VnArial"/>
      <family val="2"/>
    </font>
    <font>
      <vertAlign val="superscript"/>
      <sz val="10"/>
      <name val=".Vn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10"/>
      <name val=".VnArial"/>
      <family val="2"/>
    </font>
    <font>
      <sz val="10"/>
      <color indexed="10"/>
      <name val=".VnArial"/>
      <family val="2"/>
    </font>
    <font>
      <b/>
      <i/>
      <sz val="10"/>
      <color indexed="12"/>
      <name val=".VnArial"/>
      <family val="2"/>
    </font>
    <font>
      <b/>
      <i/>
      <u/>
      <sz val="10"/>
      <color indexed="10"/>
      <name val=".VnArial"/>
      <family val="2"/>
    </font>
    <font>
      <b/>
      <sz val="11"/>
      <name val="Symbol"/>
      <family val="1"/>
      <charset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.VnArialH"/>
      <family val="2"/>
    </font>
    <font>
      <b/>
      <i/>
      <sz val="10"/>
      <color indexed="10"/>
      <name val=".VnArial"/>
      <family val="2"/>
    </font>
    <font>
      <sz val="8"/>
      <name val="Arial"/>
    </font>
    <font>
      <sz val="12"/>
      <name val=".VnArial NarrowH"/>
      <family val="2"/>
    </font>
    <font>
      <b/>
      <sz val="10"/>
      <color indexed="10"/>
      <name val=".VnArialH"/>
      <family val="2"/>
    </font>
    <font>
      <b/>
      <vertAlign val="subscript"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5" fillId="0" borderId="0"/>
  </cellStyleXfs>
  <cellXfs count="510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5" xfId="0" applyBorder="1"/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0" fillId="2" borderId="0" xfId="0" applyFont="1" applyFill="1"/>
    <xf numFmtId="0" fontId="30" fillId="3" borderId="0" xfId="0" applyFont="1" applyFill="1"/>
    <xf numFmtId="0" fontId="29" fillId="2" borderId="0" xfId="0" applyFont="1" applyFill="1"/>
    <xf numFmtId="0" fontId="29" fillId="2" borderId="0" xfId="0" applyFont="1" applyFill="1" applyAlignment="1">
      <alignment horizontal="center"/>
    </xf>
    <xf numFmtId="0" fontId="15" fillId="2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175" fontId="15" fillId="3" borderId="0" xfId="0" applyNumberFormat="1" applyFont="1" applyFill="1"/>
    <xf numFmtId="0" fontId="15" fillId="2" borderId="1" xfId="0" applyFont="1" applyFill="1" applyBorder="1" applyAlignment="1">
      <alignment horizontal="left" indent="1"/>
    </xf>
    <xf numFmtId="0" fontId="15" fillId="2" borderId="14" xfId="0" applyFont="1" applyFill="1" applyBorder="1"/>
    <xf numFmtId="0" fontId="15" fillId="2" borderId="4" xfId="0" applyFont="1" applyFill="1" applyBorder="1" applyAlignment="1">
      <alignment horizontal="left" indent="1"/>
    </xf>
    <xf numFmtId="0" fontId="15" fillId="2" borderId="15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172" fontId="15" fillId="0" borderId="0" xfId="0" applyNumberFormat="1" applyFont="1" applyFill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left" indent="1"/>
    </xf>
    <xf numFmtId="0" fontId="15" fillId="2" borderId="18" xfId="0" applyFont="1" applyFill="1" applyBorder="1"/>
    <xf numFmtId="0" fontId="15" fillId="2" borderId="0" xfId="0" applyFont="1" applyFill="1" applyAlignment="1">
      <alignment horizontal="left" indent="1"/>
    </xf>
    <xf numFmtId="172" fontId="31" fillId="2" borderId="0" xfId="0" applyNumberFormat="1" applyFont="1" applyFill="1"/>
    <xf numFmtId="2" fontId="31" fillId="2" borderId="19" xfId="0" applyNumberFormat="1" applyFont="1" applyFill="1" applyBorder="1" applyProtection="1">
      <protection locked="0"/>
    </xf>
    <xf numFmtId="2" fontId="31" fillId="2" borderId="20" xfId="0" applyNumberFormat="1" applyFont="1" applyFill="1" applyBorder="1" applyProtection="1">
      <protection locked="0"/>
    </xf>
    <xf numFmtId="2" fontId="15" fillId="2" borderId="20" xfId="0" applyNumberFormat="1" applyFont="1" applyFill="1" applyBorder="1"/>
    <xf numFmtId="2" fontId="15" fillId="2" borderId="21" xfId="0" applyNumberFormat="1" applyFont="1" applyFill="1" applyBorder="1"/>
    <xf numFmtId="172" fontId="31" fillId="2" borderId="19" xfId="0" applyNumberFormat="1" applyFont="1" applyFill="1" applyBorder="1" applyProtection="1">
      <protection locked="0"/>
    </xf>
    <xf numFmtId="172" fontId="15" fillId="2" borderId="20" xfId="0" applyNumberFormat="1" applyFont="1" applyFill="1" applyBorder="1"/>
    <xf numFmtId="1" fontId="31" fillId="2" borderId="21" xfId="0" applyNumberFormat="1" applyFont="1" applyFill="1" applyBorder="1" applyProtection="1">
      <protection locked="0"/>
    </xf>
    <xf numFmtId="172" fontId="15" fillId="2" borderId="0" xfId="0" applyNumberFormat="1" applyFont="1" applyFill="1"/>
    <xf numFmtId="172" fontId="31" fillId="2" borderId="20" xfId="0" applyNumberFormat="1" applyFont="1" applyFill="1" applyBorder="1" applyProtection="1">
      <protection locked="0"/>
    </xf>
    <xf numFmtId="172" fontId="15" fillId="2" borderId="21" xfId="0" applyNumberFormat="1" applyFont="1" applyFill="1" applyBorder="1"/>
    <xf numFmtId="0" fontId="28" fillId="2" borderId="1" xfId="0" applyFont="1" applyFill="1" applyBorder="1" applyAlignment="1">
      <alignment horizontal="left" indent="1"/>
    </xf>
    <xf numFmtId="172" fontId="15" fillId="2" borderId="19" xfId="0" applyNumberFormat="1" applyFont="1" applyFill="1" applyBorder="1"/>
    <xf numFmtId="0" fontId="28" fillId="2" borderId="4" xfId="0" applyFont="1" applyFill="1" applyBorder="1" applyAlignment="1">
      <alignment horizontal="left" indent="1"/>
    </xf>
    <xf numFmtId="0" fontId="27" fillId="2" borderId="4" xfId="0" applyFont="1" applyFill="1" applyBorder="1" applyAlignment="1">
      <alignment horizontal="left" inden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indent="2"/>
    </xf>
    <xf numFmtId="2" fontId="15" fillId="2" borderId="0" xfId="0" applyNumberFormat="1" applyFont="1" applyFill="1"/>
    <xf numFmtId="172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2" fontId="29" fillId="2" borderId="0" xfId="0" applyNumberFormat="1" applyFont="1" applyFill="1"/>
    <xf numFmtId="0" fontId="29" fillId="2" borderId="22" xfId="0" applyFont="1" applyFill="1" applyBorder="1" applyAlignment="1">
      <alignment horizontal="left" indent="1"/>
    </xf>
    <xf numFmtId="0" fontId="29" fillId="2" borderId="0" xfId="0" quotePrefix="1" applyFont="1" applyFill="1" applyAlignment="1">
      <alignment horizontal="center"/>
    </xf>
    <xf numFmtId="174" fontId="15" fillId="2" borderId="0" xfId="0" applyNumberFormat="1" applyFont="1" applyFill="1" applyAlignment="1">
      <alignment horizontal="left"/>
    </xf>
    <xf numFmtId="2" fontId="15" fillId="2" borderId="20" xfId="0" applyNumberFormat="1" applyFont="1" applyFill="1" applyBorder="1" applyProtection="1">
      <protection locked="0"/>
    </xf>
    <xf numFmtId="0" fontId="15" fillId="2" borderId="0" xfId="0" applyFont="1" applyFill="1" applyAlignment="1"/>
    <xf numFmtId="0" fontId="15" fillId="2" borderId="0" xfId="0" applyFont="1" applyFill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172" fontId="15" fillId="2" borderId="0" xfId="0" applyNumberFormat="1" applyFont="1" applyFill="1" applyBorder="1"/>
    <xf numFmtId="1" fontId="31" fillId="2" borderId="0" xfId="0" applyNumberFormat="1" applyFont="1" applyFill="1" applyBorder="1" applyProtection="1">
      <protection locked="0"/>
    </xf>
    <xf numFmtId="2" fontId="15" fillId="2" borderId="0" xfId="0" applyNumberFormat="1" applyFont="1" applyFill="1" applyBorder="1"/>
    <xf numFmtId="2" fontId="15" fillId="2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 indent="1"/>
    </xf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indent="1"/>
      <protection locked="0"/>
    </xf>
    <xf numFmtId="175" fontId="31" fillId="2" borderId="19" xfId="0" applyNumberFormat="1" applyFont="1" applyFill="1" applyBorder="1" applyAlignment="1" applyProtection="1">
      <alignment horizontal="right"/>
      <protection locked="0"/>
    </xf>
    <xf numFmtId="175" fontId="31" fillId="2" borderId="20" xfId="0" applyNumberFormat="1" applyFont="1" applyFill="1" applyBorder="1" applyAlignment="1" applyProtection="1">
      <alignment horizontal="right"/>
      <protection locked="0"/>
    </xf>
    <xf numFmtId="175" fontId="15" fillId="2" borderId="20" xfId="0" applyNumberFormat="1" applyFont="1" applyFill="1" applyBorder="1" applyAlignment="1">
      <alignment horizontal="right"/>
    </xf>
    <xf numFmtId="175" fontId="15" fillId="2" borderId="23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 indent="2"/>
    </xf>
    <xf numFmtId="0" fontId="0" fillId="0" borderId="1" xfId="0" applyBorder="1"/>
    <xf numFmtId="0" fontId="0" fillId="0" borderId="24" xfId="0" applyBorder="1"/>
    <xf numFmtId="0" fontId="34" fillId="0" borderId="24" xfId="0" applyFont="1" applyBorder="1" applyAlignment="1">
      <alignment horizontal="centerContinuous"/>
    </xf>
    <xf numFmtId="0" fontId="34" fillId="0" borderId="2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4" xfId="0" applyFont="1" applyBorder="1"/>
    <xf numFmtId="0" fontId="34" fillId="0" borderId="2" xfId="0" applyFont="1" applyBorder="1"/>
    <xf numFmtId="0" fontId="34" fillId="0" borderId="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/>
    <xf numFmtId="175" fontId="0" fillId="0" borderId="2" xfId="0" applyNumberFormat="1" applyBorder="1"/>
    <xf numFmtId="175" fontId="0" fillId="0" borderId="13" xfId="0" applyNumberFormat="1" applyBorder="1"/>
    <xf numFmtId="175" fontId="0" fillId="0" borderId="0" xfId="0" applyNumberFormat="1" applyAlignment="1">
      <alignment horizont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175" fontId="12" fillId="0" borderId="26" xfId="0" applyNumberFormat="1" applyFont="1" applyFill="1" applyBorder="1" applyAlignment="1">
      <alignment horizontal="center"/>
    </xf>
    <xf numFmtId="175" fontId="12" fillId="0" borderId="17" xfId="0" applyNumberFormat="1" applyFont="1" applyFill="1" applyBorder="1" applyAlignment="1">
      <alignment horizontal="center"/>
    </xf>
    <xf numFmtId="175" fontId="12" fillId="0" borderId="27" xfId="0" applyNumberFormat="1" applyFont="1" applyFill="1" applyBorder="1" applyAlignment="1">
      <alignment horizontal="center"/>
    </xf>
    <xf numFmtId="175" fontId="0" fillId="0" borderId="0" xfId="0" applyNumberFormat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175" fontId="38" fillId="2" borderId="20" xfId="0" applyNumberFormat="1" applyFont="1" applyFill="1" applyBorder="1" applyAlignment="1" applyProtection="1">
      <alignment horizontal="right"/>
      <protection locked="0"/>
    </xf>
    <xf numFmtId="175" fontId="15" fillId="2" borderId="0" xfId="0" applyNumberFormat="1" applyFont="1" applyFill="1"/>
    <xf numFmtId="0" fontId="40" fillId="2" borderId="0" xfId="0" applyFont="1" applyFill="1"/>
    <xf numFmtId="174" fontId="37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quotePrefix="1" applyFont="1" applyFill="1" applyAlignment="1">
      <alignment horizontal="left" vertical="center"/>
    </xf>
    <xf numFmtId="0" fontId="12" fillId="2" borderId="0" xfId="0" quotePrefix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2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172" fontId="16" fillId="2" borderId="2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Continuous" vertical="center"/>
    </xf>
    <xf numFmtId="2" fontId="12" fillId="2" borderId="28" xfId="0" applyNumberFormat="1" applyFont="1" applyFill="1" applyBorder="1" applyAlignment="1">
      <alignment horizontal="centerContinuous" vertical="center"/>
    </xf>
    <xf numFmtId="0" fontId="12" fillId="2" borderId="29" xfId="0" applyFont="1" applyFill="1" applyBorder="1" applyAlignment="1">
      <alignment horizontal="centerContinuous" vertical="center"/>
    </xf>
    <xf numFmtId="0" fontId="12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Continuous" vertical="center"/>
    </xf>
    <xf numFmtId="0" fontId="12" fillId="2" borderId="32" xfId="0" applyFont="1" applyFill="1" applyBorder="1" applyAlignment="1">
      <alignment horizontal="centerContinuous" vertical="center"/>
    </xf>
    <xf numFmtId="0" fontId="12" fillId="2" borderId="33" xfId="0" applyFont="1" applyFill="1" applyBorder="1" applyAlignment="1">
      <alignment horizontal="centerContinuous" vertical="center"/>
    </xf>
    <xf numFmtId="0" fontId="12" fillId="2" borderId="34" xfId="0" applyFont="1" applyFill="1" applyBorder="1" applyAlignment="1">
      <alignment vertical="center"/>
    </xf>
    <xf numFmtId="175" fontId="12" fillId="2" borderId="30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175" fontId="12" fillId="2" borderId="36" xfId="0" applyNumberFormat="1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/>
    </xf>
    <xf numFmtId="175" fontId="12" fillId="2" borderId="38" xfId="0" applyNumberFormat="1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vertical="center"/>
    </xf>
    <xf numFmtId="175" fontId="12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175" fontId="12" fillId="2" borderId="40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vertical="center"/>
    </xf>
    <xf numFmtId="175" fontId="12" fillId="2" borderId="4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2" fillId="2" borderId="32" xfId="2" applyFont="1" applyFill="1" applyBorder="1" applyAlignment="1" applyProtection="1">
      <alignment horizontal="left" vertical="center"/>
      <protection hidden="1"/>
    </xf>
    <xf numFmtId="2" fontId="12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horizontal="right" vertical="center"/>
    </xf>
    <xf numFmtId="2" fontId="12" fillId="2" borderId="41" xfId="0" applyNumberFormat="1" applyFont="1" applyFill="1" applyBorder="1" applyAlignment="1">
      <alignment vertical="center"/>
    </xf>
    <xf numFmtId="0" fontId="8" fillId="2" borderId="30" xfId="2" applyFont="1" applyFill="1" applyBorder="1" applyAlignment="1" applyProtection="1">
      <alignment horizontal="center" vertical="center"/>
      <protection hidden="1"/>
    </xf>
    <xf numFmtId="0" fontId="12" fillId="2" borderId="32" xfId="0" applyFont="1" applyFill="1" applyBorder="1" applyAlignment="1">
      <alignment horizontal="right" vertical="center"/>
    </xf>
    <xf numFmtId="175" fontId="12" fillId="2" borderId="0" xfId="0" applyNumberFormat="1" applyFont="1" applyFill="1" applyAlignment="1">
      <alignment vertical="center"/>
    </xf>
    <xf numFmtId="0" fontId="12" fillId="2" borderId="32" xfId="0" applyFont="1" applyFill="1" applyBorder="1" applyAlignment="1">
      <alignment vertical="center"/>
    </xf>
    <xf numFmtId="194" fontId="12" fillId="2" borderId="0" xfId="1" applyNumberFormat="1" applyFont="1" applyFill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5" fontId="12" fillId="2" borderId="0" xfId="0" applyNumberFormat="1" applyFont="1" applyFill="1" applyBorder="1" applyAlignment="1">
      <alignment horizontal="right" vertical="center"/>
    </xf>
    <xf numFmtId="175" fontId="12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194" fontId="12" fillId="2" borderId="0" xfId="0" applyNumberFormat="1" applyFont="1" applyFill="1" applyAlignment="1">
      <alignment vertical="center"/>
    </xf>
    <xf numFmtId="198" fontId="12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75" fontId="8" fillId="2" borderId="42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center"/>
    </xf>
    <xf numFmtId="175" fontId="8" fillId="2" borderId="43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75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75" fontId="8" fillId="2" borderId="3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175" fontId="8" fillId="2" borderId="21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175" fontId="8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Continuous" vertical="center"/>
    </xf>
    <xf numFmtId="2" fontId="12" fillId="2" borderId="0" xfId="0" applyNumberFormat="1" applyFont="1" applyFill="1" applyBorder="1" applyAlignment="1">
      <alignment horizontal="centerContinuous" vertical="center"/>
    </xf>
    <xf numFmtId="0" fontId="12" fillId="2" borderId="45" xfId="0" applyFont="1" applyFill="1" applyBorder="1" applyAlignment="1">
      <alignment horizontal="centerContinuous" vertical="center"/>
    </xf>
    <xf numFmtId="2" fontId="12" fillId="2" borderId="46" xfId="0" applyNumberFormat="1" applyFont="1" applyFill="1" applyBorder="1" applyAlignment="1">
      <alignment horizontal="centerContinuous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2" fontId="12" fillId="2" borderId="49" xfId="0" applyNumberFormat="1" applyFont="1" applyFill="1" applyBorder="1" applyAlignment="1">
      <alignment horizontal="centerContinuous" vertical="center"/>
    </xf>
    <xf numFmtId="0" fontId="12" fillId="2" borderId="50" xfId="0" applyFont="1" applyFill="1" applyBorder="1" applyAlignment="1">
      <alignment horizontal="centerContinuous" vertical="center"/>
    </xf>
    <xf numFmtId="2" fontId="12" fillId="2" borderId="48" xfId="0" applyNumberFormat="1" applyFont="1" applyFill="1" applyBorder="1" applyAlignment="1">
      <alignment horizontal="centerContinuous" vertical="center"/>
    </xf>
    <xf numFmtId="0" fontId="12" fillId="2" borderId="51" xfId="0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88" fontId="1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89" fontId="12" fillId="2" borderId="0" xfId="0" applyNumberFormat="1" applyFont="1" applyFill="1" applyBorder="1" applyAlignment="1">
      <alignment vertical="center"/>
    </xf>
    <xf numFmtId="189" fontId="12" fillId="2" borderId="0" xfId="0" applyNumberFormat="1" applyFont="1" applyFill="1" applyBorder="1" applyAlignment="1">
      <alignment horizontal="center" vertical="center"/>
    </xf>
    <xf numFmtId="172" fontId="12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5" fontId="8" fillId="2" borderId="20" xfId="0" applyNumberFormat="1" applyFont="1" applyFill="1" applyBorder="1" applyAlignment="1">
      <alignment vertical="center"/>
    </xf>
    <xf numFmtId="0" fontId="8" fillId="2" borderId="52" xfId="0" applyFont="1" applyFill="1" applyBorder="1" applyAlignment="1">
      <alignment horizontal="centerContinuous" vertical="center"/>
    </xf>
    <xf numFmtId="2" fontId="12" fillId="2" borderId="3" xfId="0" applyNumberFormat="1" applyFont="1" applyFill="1" applyBorder="1" applyAlignment="1">
      <alignment horizontal="centerContinuous" vertical="center"/>
    </xf>
    <xf numFmtId="0" fontId="8" fillId="2" borderId="53" xfId="0" applyFont="1" applyFill="1" applyBorder="1" applyAlignment="1">
      <alignment horizontal="centerContinuous" vertical="center"/>
    </xf>
    <xf numFmtId="2" fontId="12" fillId="2" borderId="43" xfId="0" applyNumberFormat="1" applyFont="1" applyFill="1" applyBorder="1" applyAlignment="1">
      <alignment horizontal="centerContinuous" vertical="center"/>
    </xf>
    <xf numFmtId="175" fontId="12" fillId="2" borderId="18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Continuous" vertical="center"/>
    </xf>
    <xf numFmtId="175" fontId="12" fillId="2" borderId="0" xfId="0" applyNumberFormat="1" applyFont="1" applyFill="1" applyBorder="1" applyAlignment="1">
      <alignment horizontal="left" vertical="center"/>
    </xf>
    <xf numFmtId="0" fontId="12" fillId="2" borderId="54" xfId="0" applyFont="1" applyFill="1" applyBorder="1" applyAlignment="1">
      <alignment vertical="center" wrapText="1"/>
    </xf>
    <xf numFmtId="175" fontId="12" fillId="2" borderId="55" xfId="0" applyNumberFormat="1" applyFont="1" applyFill="1" applyBorder="1" applyAlignment="1">
      <alignment vertical="center" wrapText="1"/>
    </xf>
    <xf numFmtId="0" fontId="12" fillId="2" borderId="56" xfId="0" applyFont="1" applyFill="1" applyBorder="1" applyAlignment="1">
      <alignment vertical="center" wrapText="1"/>
    </xf>
    <xf numFmtId="2" fontId="12" fillId="2" borderId="0" xfId="0" quotePrefix="1" applyNumberFormat="1" applyFont="1" applyFill="1" applyAlignment="1">
      <alignment vertical="center"/>
    </xf>
    <xf numFmtId="0" fontId="12" fillId="2" borderId="5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2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2" fontId="12" fillId="2" borderId="4" xfId="0" applyNumberFormat="1" applyFont="1" applyFill="1" applyBorder="1" applyAlignment="1">
      <alignment horizontal="center" vertical="center"/>
    </xf>
    <xf numFmtId="172" fontId="12" fillId="2" borderId="17" xfId="0" applyNumberFormat="1" applyFont="1" applyFill="1" applyBorder="1" applyAlignment="1">
      <alignment horizontal="center" vertical="center"/>
    </xf>
    <xf numFmtId="172" fontId="12" fillId="2" borderId="26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Continuous" vertical="center"/>
    </xf>
    <xf numFmtId="0" fontId="12" fillId="2" borderId="0" xfId="0" applyFont="1" applyFill="1" applyAlignment="1">
      <alignment horizontal="centerContinuous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172" fontId="12" fillId="2" borderId="4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Continuous" vertical="center"/>
    </xf>
    <xf numFmtId="0" fontId="12" fillId="2" borderId="19" xfId="0" applyFont="1" applyFill="1" applyBorder="1" applyAlignment="1">
      <alignment horizontal="centerContinuous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75" fontId="12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75" fontId="12" fillId="2" borderId="26" xfId="0" applyNumberFormat="1" applyFont="1" applyFill="1" applyBorder="1" applyAlignment="1">
      <alignment horizontal="center" vertical="center"/>
    </xf>
    <xf numFmtId="175" fontId="16" fillId="2" borderId="0" xfId="0" applyNumberFormat="1" applyFont="1" applyFill="1" applyAlignment="1">
      <alignment vertical="center"/>
    </xf>
    <xf numFmtId="0" fontId="12" fillId="2" borderId="61" xfId="0" applyFont="1" applyFill="1" applyBorder="1" applyAlignment="1">
      <alignment horizontal="centerContinuous" vertical="center"/>
    </xf>
    <xf numFmtId="11" fontId="12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172" fontId="12" fillId="2" borderId="13" xfId="0" applyNumberFormat="1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Continuous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191" fontId="4" fillId="2" borderId="13" xfId="0" applyNumberFormat="1" applyFont="1" applyFill="1" applyBorder="1" applyAlignment="1">
      <alignment horizontal="center" vertical="center"/>
    </xf>
    <xf numFmtId="175" fontId="1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1" fillId="2" borderId="0" xfId="0" applyFont="1" applyFill="1" applyBorder="1" applyAlignment="1">
      <alignment horizontal="right" vertical="center"/>
    </xf>
    <xf numFmtId="0" fontId="16" fillId="2" borderId="0" xfId="0" quotePrefix="1" applyFont="1" applyFill="1" applyAlignment="1">
      <alignment vertical="center"/>
    </xf>
    <xf numFmtId="2" fontId="43" fillId="2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2" fontId="44" fillId="2" borderId="0" xfId="0" applyNumberFormat="1" applyFont="1" applyFill="1" applyAlignment="1">
      <alignment horizontal="left" vertical="center"/>
    </xf>
    <xf numFmtId="0" fontId="44" fillId="2" borderId="0" xfId="0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horizontal="centerContinuous" vertical="center"/>
    </xf>
    <xf numFmtId="172" fontId="12" fillId="2" borderId="3" xfId="0" applyNumberFormat="1" applyFont="1" applyFill="1" applyBorder="1" applyAlignment="1">
      <alignment horizontal="center" vertical="center"/>
    </xf>
    <xf numFmtId="172" fontId="12" fillId="2" borderId="15" xfId="0" applyNumberFormat="1" applyFont="1" applyFill="1" applyBorder="1" applyAlignment="1">
      <alignment vertical="center"/>
    </xf>
    <xf numFmtId="172" fontId="12" fillId="2" borderId="18" xfId="0" applyNumberFormat="1" applyFont="1" applyFill="1" applyBorder="1" applyAlignment="1">
      <alignment vertical="center"/>
    </xf>
    <xf numFmtId="191" fontId="4" fillId="2" borderId="0" xfId="0" applyNumberFormat="1" applyFont="1" applyFill="1" applyBorder="1" applyAlignment="1">
      <alignment horizontal="center" vertical="center"/>
    </xf>
    <xf numFmtId="175" fontId="12" fillId="2" borderId="65" xfId="0" applyNumberFormat="1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vertical="center"/>
    </xf>
    <xf numFmtId="175" fontId="8" fillId="2" borderId="2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5" fontId="8" fillId="2" borderId="24" xfId="0" applyNumberFormat="1" applyFont="1" applyFill="1" applyBorder="1" applyAlignment="1">
      <alignment horizontal="center" vertical="center"/>
    </xf>
    <xf numFmtId="175" fontId="8" fillId="2" borderId="2" xfId="0" applyNumberFormat="1" applyFont="1" applyFill="1" applyBorder="1" applyAlignment="1">
      <alignment horizontal="center" vertical="center"/>
    </xf>
    <xf numFmtId="172" fontId="12" fillId="2" borderId="0" xfId="0" applyNumberFormat="1" applyFont="1" applyFill="1" applyBorder="1" applyAlignment="1">
      <alignment vertical="center"/>
    </xf>
    <xf numFmtId="172" fontId="12" fillId="2" borderId="3" xfId="0" applyNumberFormat="1" applyFont="1" applyFill="1" applyBorder="1" applyAlignment="1">
      <alignment vertical="center"/>
    </xf>
    <xf numFmtId="172" fontId="12" fillId="2" borderId="43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5" fillId="2" borderId="0" xfId="0" applyFont="1" applyFill="1" applyAlignment="1">
      <alignment horizontal="center"/>
    </xf>
    <xf numFmtId="0" fontId="46" fillId="2" borderId="0" xfId="0" applyFont="1" applyFill="1"/>
    <xf numFmtId="0" fontId="5" fillId="2" borderId="0" xfId="0" applyFont="1" applyFill="1"/>
    <xf numFmtId="0" fontId="34" fillId="2" borderId="5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2" fontId="34" fillId="2" borderId="6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172" fontId="34" fillId="2" borderId="9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34" fillId="2" borderId="66" xfId="0" applyNumberFormat="1" applyFont="1" applyFill="1" applyBorder="1" applyAlignment="1">
      <alignment vertical="center" wrapText="1"/>
    </xf>
    <xf numFmtId="0" fontId="34" fillId="2" borderId="67" xfId="0" applyNumberFormat="1" applyFont="1" applyFill="1" applyBorder="1" applyAlignment="1">
      <alignment horizontal="center" vertical="center" wrapText="1"/>
    </xf>
    <xf numFmtId="0" fontId="34" fillId="2" borderId="67" xfId="0" applyFont="1" applyFill="1" applyBorder="1" applyAlignment="1">
      <alignment horizontal="center" vertical="center" wrapText="1"/>
    </xf>
    <xf numFmtId="0" fontId="34" fillId="2" borderId="6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200" fontId="12" fillId="2" borderId="2" xfId="0" applyNumberFormat="1" applyFont="1" applyFill="1" applyBorder="1" applyAlignment="1">
      <alignment horizontal="center" vertical="center"/>
    </xf>
    <xf numFmtId="172" fontId="5" fillId="2" borderId="9" xfId="0" applyNumberFormat="1" applyFont="1" applyFill="1" applyBorder="1" applyAlignment="1">
      <alignment horizontal="center" vertical="center"/>
    </xf>
    <xf numFmtId="0" fontId="34" fillId="2" borderId="69" xfId="0" applyNumberFormat="1" applyFont="1" applyFill="1" applyBorder="1" applyAlignment="1">
      <alignment vertical="center" wrapText="1"/>
    </xf>
    <xf numFmtId="0" fontId="34" fillId="2" borderId="51" xfId="0" applyNumberFormat="1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 wrapText="1"/>
    </xf>
    <xf numFmtId="0" fontId="34" fillId="2" borderId="7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right"/>
    </xf>
    <xf numFmtId="2" fontId="34" fillId="2" borderId="12" xfId="0" applyNumberFormat="1" applyFont="1" applyFill="1" applyBorder="1" applyAlignment="1">
      <alignment horizontal="right"/>
    </xf>
    <xf numFmtId="0" fontId="5" fillId="2" borderId="47" xfId="0" applyFont="1" applyFill="1" applyBorder="1" applyAlignment="1">
      <alignment horizontal="center" vertical="center"/>
    </xf>
    <xf numFmtId="2" fontId="5" fillId="2" borderId="47" xfId="0" applyNumberFormat="1" applyFont="1" applyFill="1" applyBorder="1" applyAlignment="1">
      <alignment vertical="center"/>
    </xf>
    <xf numFmtId="172" fontId="34" fillId="2" borderId="71" xfId="0" applyNumberFormat="1" applyFont="1" applyFill="1" applyBorder="1" applyAlignment="1">
      <alignment vertical="center"/>
    </xf>
    <xf numFmtId="2" fontId="5" fillId="2" borderId="47" xfId="0" applyNumberFormat="1" applyFont="1" applyFill="1" applyBorder="1" applyAlignment="1">
      <alignment horizontal="center" vertical="center"/>
    </xf>
    <xf numFmtId="2" fontId="34" fillId="2" borderId="11" xfId="0" applyNumberFormat="1" applyFont="1" applyFill="1" applyBorder="1" applyAlignment="1">
      <alignment horizontal="center" vertical="center"/>
    </xf>
    <xf numFmtId="172" fontId="34" fillId="2" borderId="12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vertical="center" wrapText="1"/>
    </xf>
    <xf numFmtId="2" fontId="0" fillId="0" borderId="0" xfId="0" applyNumberFormat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right"/>
    </xf>
    <xf numFmtId="2" fontId="34" fillId="2" borderId="0" xfId="0" applyNumberFormat="1" applyFont="1" applyFill="1" applyBorder="1" applyAlignment="1">
      <alignment horizontal="right"/>
    </xf>
    <xf numFmtId="0" fontId="49" fillId="2" borderId="0" xfId="0" applyFont="1" applyFill="1"/>
    <xf numFmtId="2" fontId="42" fillId="2" borderId="0" xfId="0" applyNumberFormat="1" applyFont="1" applyFill="1" applyAlignment="1">
      <alignment horizontal="center" vertical="center"/>
    </xf>
    <xf numFmtId="175" fontId="8" fillId="2" borderId="55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vertical="center"/>
    </xf>
    <xf numFmtId="0" fontId="8" fillId="2" borderId="72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Continuous" vertical="center"/>
    </xf>
    <xf numFmtId="175" fontId="12" fillId="2" borderId="15" xfId="0" applyNumberFormat="1" applyFont="1" applyFill="1" applyBorder="1" applyAlignment="1">
      <alignment horizontal="left" vertical="center"/>
    </xf>
    <xf numFmtId="2" fontId="12" fillId="2" borderId="21" xfId="0" applyNumberFormat="1" applyFont="1" applyFill="1" applyBorder="1" applyAlignment="1">
      <alignment horizontal="centerContinuous" vertical="center"/>
    </xf>
    <xf numFmtId="0" fontId="12" fillId="2" borderId="43" xfId="0" applyFont="1" applyFill="1" applyBorder="1" applyAlignment="1">
      <alignment vertical="center"/>
    </xf>
    <xf numFmtId="0" fontId="12" fillId="2" borderId="53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left" vertical="center"/>
    </xf>
    <xf numFmtId="2" fontId="12" fillId="2" borderId="15" xfId="0" applyNumberFormat="1" applyFont="1" applyFill="1" applyBorder="1" applyAlignment="1">
      <alignment horizontal="right" vertical="center"/>
    </xf>
    <xf numFmtId="2" fontId="12" fillId="2" borderId="74" xfId="0" applyNumberFormat="1" applyFont="1" applyFill="1" applyBorder="1" applyAlignment="1">
      <alignment vertical="center"/>
    </xf>
    <xf numFmtId="2" fontId="12" fillId="2" borderId="21" xfId="0" applyNumberFormat="1" applyFont="1" applyFill="1" applyBorder="1" applyAlignment="1">
      <alignment vertical="center"/>
    </xf>
    <xf numFmtId="2" fontId="12" fillId="2" borderId="43" xfId="0" applyNumberFormat="1" applyFont="1" applyFill="1" applyBorder="1" applyAlignment="1">
      <alignment vertical="center"/>
    </xf>
    <xf numFmtId="172" fontId="16" fillId="2" borderId="21" xfId="0" applyNumberFormat="1" applyFont="1" applyFill="1" applyBorder="1" applyAlignment="1">
      <alignment horizontal="center" vertical="center"/>
    </xf>
    <xf numFmtId="2" fontId="12" fillId="2" borderId="18" xfId="0" applyNumberFormat="1" applyFont="1" applyFill="1" applyBorder="1" applyAlignment="1">
      <alignment vertical="center"/>
    </xf>
    <xf numFmtId="0" fontId="12" fillId="2" borderId="75" xfId="0" applyFont="1" applyFill="1" applyBorder="1" applyAlignment="1">
      <alignment horizontal="centerContinuous" vertical="center"/>
    </xf>
    <xf numFmtId="2" fontId="12" fillId="2" borderId="76" xfId="0" applyNumberFormat="1" applyFont="1" applyFill="1" applyBorder="1" applyAlignment="1">
      <alignment horizontal="centerContinuous" vertical="center"/>
    </xf>
    <xf numFmtId="0" fontId="12" fillId="2" borderId="77" xfId="0" applyFont="1" applyFill="1" applyBorder="1" applyAlignment="1">
      <alignment horizontal="centerContinuous" vertical="center"/>
    </xf>
    <xf numFmtId="2" fontId="12" fillId="2" borderId="78" xfId="0" applyNumberFormat="1" applyFont="1" applyFill="1" applyBorder="1" applyAlignment="1">
      <alignment horizontal="centerContinuous" vertical="center"/>
    </xf>
    <xf numFmtId="0" fontId="12" fillId="2" borderId="42" xfId="0" applyFont="1" applyFill="1" applyBorder="1" applyAlignment="1">
      <alignment horizontal="centerContinuous" vertical="center"/>
    </xf>
    <xf numFmtId="2" fontId="12" fillId="2" borderId="79" xfId="0" applyNumberFormat="1" applyFont="1" applyFill="1" applyBorder="1" applyAlignment="1">
      <alignment horizontal="centerContinuous" vertical="center"/>
    </xf>
    <xf numFmtId="0" fontId="12" fillId="2" borderId="80" xfId="0" applyFont="1" applyFill="1" applyBorder="1" applyAlignment="1">
      <alignment horizontal="center" vertical="center"/>
    </xf>
    <xf numFmtId="2" fontId="12" fillId="2" borderId="81" xfId="0" applyNumberFormat="1" applyFont="1" applyFill="1" applyBorder="1" applyAlignment="1">
      <alignment horizontal="centerContinuous" vertical="center"/>
    </xf>
    <xf numFmtId="175" fontId="12" fillId="2" borderId="21" xfId="2" applyNumberFormat="1" applyFont="1" applyFill="1" applyBorder="1" applyAlignment="1" applyProtection="1">
      <alignment horizontal="center" vertical="center"/>
      <protection locked="0"/>
    </xf>
    <xf numFmtId="2" fontId="12" fillId="2" borderId="82" xfId="0" applyNumberFormat="1" applyFont="1" applyFill="1" applyBorder="1" applyAlignment="1">
      <alignment horizontal="centerContinuous" vertical="center"/>
    </xf>
    <xf numFmtId="175" fontId="12" fillId="2" borderId="83" xfId="0" applyNumberFormat="1" applyFont="1" applyFill="1" applyBorder="1" applyAlignment="1">
      <alignment horizontal="centerContinuous" vertical="center"/>
    </xf>
    <xf numFmtId="2" fontId="12" fillId="2" borderId="26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/>
    </xf>
    <xf numFmtId="172" fontId="12" fillId="2" borderId="0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centerContinuous" vertical="center"/>
    </xf>
    <xf numFmtId="0" fontId="12" fillId="2" borderId="52" xfId="0" applyFont="1" applyFill="1" applyBorder="1" applyAlignment="1">
      <alignment horizontal="centerContinuous" vertical="center"/>
    </xf>
    <xf numFmtId="0" fontId="12" fillId="2" borderId="84" xfId="0" applyFont="1" applyFill="1" applyBorder="1" applyAlignment="1">
      <alignment horizontal="centerContinuous" vertical="center"/>
    </xf>
    <xf numFmtId="0" fontId="8" fillId="2" borderId="73" xfId="0" applyFont="1" applyFill="1" applyBorder="1" applyAlignment="1">
      <alignment horizontal="centerContinuous" vertical="center"/>
    </xf>
    <xf numFmtId="0" fontId="8" fillId="2" borderId="74" xfId="0" applyFont="1" applyFill="1" applyBorder="1" applyAlignment="1">
      <alignment horizontal="centerContinuous" vertical="center"/>
    </xf>
    <xf numFmtId="0" fontId="12" fillId="2" borderId="21" xfId="0" applyFont="1" applyFill="1" applyBorder="1" applyAlignment="1">
      <alignment horizontal="centerContinuous" vertical="center"/>
    </xf>
    <xf numFmtId="0" fontId="12" fillId="2" borderId="53" xfId="0" applyFont="1" applyFill="1" applyBorder="1" applyAlignment="1">
      <alignment horizontal="centerContinuous" vertical="center"/>
    </xf>
    <xf numFmtId="175" fontId="8" fillId="2" borderId="20" xfId="0" applyNumberFormat="1" applyFont="1" applyFill="1" applyBorder="1" applyAlignment="1">
      <alignment horizontal="center" vertical="center"/>
    </xf>
    <xf numFmtId="175" fontId="8" fillId="2" borderId="21" xfId="0" applyNumberFormat="1" applyFont="1" applyFill="1" applyBorder="1" applyAlignment="1">
      <alignment horizontal="center" vertical="center"/>
    </xf>
    <xf numFmtId="175" fontId="33" fillId="2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horizontal="left" vertical="center"/>
    </xf>
    <xf numFmtId="0" fontId="3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vertical="center"/>
    </xf>
    <xf numFmtId="189" fontId="33" fillId="2" borderId="0" xfId="0" applyNumberFormat="1" applyFont="1" applyFill="1" applyAlignment="1">
      <alignment vertical="center"/>
    </xf>
    <xf numFmtId="175" fontId="12" fillId="2" borderId="0" xfId="0" applyNumberFormat="1" applyFont="1" applyFill="1" applyAlignment="1">
      <alignment horizontal="left" vertical="center"/>
    </xf>
    <xf numFmtId="175" fontId="12" fillId="2" borderId="0" xfId="0" applyNumberFormat="1" applyFont="1" applyFill="1" applyAlignment="1">
      <alignment horizontal="right" vertical="center"/>
    </xf>
    <xf numFmtId="204" fontId="12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>
      <alignment vertical="center"/>
    </xf>
    <xf numFmtId="4" fontId="12" fillId="2" borderId="0" xfId="0" applyNumberFormat="1" applyFont="1" applyFill="1" applyAlignment="1">
      <alignment vertical="center"/>
    </xf>
    <xf numFmtId="4" fontId="12" fillId="2" borderId="13" xfId="0" applyNumberFormat="1" applyFont="1" applyFill="1" applyBorder="1" applyAlignment="1">
      <alignment horizontal="center" vertical="center"/>
    </xf>
    <xf numFmtId="203" fontId="12" fillId="2" borderId="0" xfId="0" applyNumberFormat="1" applyFont="1" applyFill="1" applyAlignment="1">
      <alignment horizontal="left" vertical="center" indent="2"/>
    </xf>
    <xf numFmtId="2" fontId="12" fillId="2" borderId="4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191" fontId="4" fillId="2" borderId="27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Continuous" vertical="center" wrapText="1"/>
    </xf>
    <xf numFmtId="0" fontId="12" fillId="2" borderId="24" xfId="0" applyFont="1" applyFill="1" applyBorder="1" applyAlignment="1">
      <alignment horizontal="centerContinuous" vertical="center"/>
    </xf>
    <xf numFmtId="2" fontId="12" fillId="2" borderId="24" xfId="0" applyNumberFormat="1" applyFont="1" applyFill="1" applyBorder="1" applyAlignment="1">
      <alignment horizontal="centerContinuous" vertical="center" wrapText="1"/>
    </xf>
    <xf numFmtId="2" fontId="12" fillId="2" borderId="25" xfId="0" applyNumberFormat="1" applyFont="1" applyFill="1" applyBorder="1" applyAlignment="1">
      <alignment horizontal="centerContinuous" vertical="center" wrapText="1"/>
    </xf>
    <xf numFmtId="2" fontId="12" fillId="2" borderId="55" xfId="0" applyNumberFormat="1" applyFont="1" applyFill="1" applyBorder="1" applyAlignment="1">
      <alignment vertical="center" wrapText="1"/>
    </xf>
    <xf numFmtId="0" fontId="12" fillId="2" borderId="85" xfId="0" applyFont="1" applyFill="1" applyBorder="1" applyAlignment="1">
      <alignment horizontal="centerContinuous" vertical="center"/>
    </xf>
    <xf numFmtId="2" fontId="12" fillId="2" borderId="55" xfId="0" applyNumberFormat="1" applyFont="1" applyFill="1" applyBorder="1" applyAlignment="1">
      <alignment horizontal="centerContinuous" vertical="center"/>
    </xf>
    <xf numFmtId="0" fontId="12" fillId="2" borderId="55" xfId="0" applyFont="1" applyFill="1" applyBorder="1" applyAlignment="1">
      <alignment horizontal="centerContinuous" vertical="center"/>
    </xf>
    <xf numFmtId="2" fontId="42" fillId="2" borderId="0" xfId="0" applyNumberFormat="1" applyFont="1" applyFill="1" applyAlignment="1">
      <alignment vertical="center"/>
    </xf>
    <xf numFmtId="0" fontId="12" fillId="2" borderId="86" xfId="3" applyFont="1" applyFill="1" applyBorder="1" applyAlignment="1" applyProtection="1">
      <alignment horizontal="left" vertical="center"/>
      <protection hidden="1"/>
    </xf>
    <xf numFmtId="0" fontId="12" fillId="2" borderId="87" xfId="3" applyFont="1" applyFill="1" applyBorder="1" applyAlignment="1" applyProtection="1">
      <alignment horizontal="center" vertical="center"/>
      <protection hidden="1"/>
    </xf>
    <xf numFmtId="2" fontId="12" fillId="2" borderId="87" xfId="0" applyNumberFormat="1" applyFont="1" applyFill="1" applyBorder="1" applyAlignment="1">
      <alignment vertical="center"/>
    </xf>
    <xf numFmtId="2" fontId="12" fillId="2" borderId="88" xfId="0" applyNumberFormat="1" applyFont="1" applyFill="1" applyBorder="1" applyAlignment="1">
      <alignment vertical="center"/>
    </xf>
    <xf numFmtId="0" fontId="12" fillId="2" borderId="89" xfId="3" applyFont="1" applyFill="1" applyBorder="1" applyAlignment="1" applyProtection="1">
      <alignment horizontal="center" vertical="center"/>
      <protection hidden="1"/>
    </xf>
    <xf numFmtId="0" fontId="12" fillId="2" borderId="89" xfId="0" applyFont="1" applyFill="1" applyBorder="1" applyAlignment="1">
      <alignment horizontal="center" vertical="center"/>
    </xf>
    <xf numFmtId="0" fontId="12" fillId="2" borderId="90" xfId="3" applyFont="1" applyFill="1" applyBorder="1" applyAlignment="1" applyProtection="1">
      <alignment horizontal="center" vertical="center"/>
      <protection hidden="1"/>
    </xf>
    <xf numFmtId="0" fontId="12" fillId="2" borderId="91" xfId="2" applyFont="1" applyFill="1" applyBorder="1" applyAlignment="1" applyProtection="1">
      <alignment horizontal="left" vertical="center"/>
      <protection hidden="1"/>
    </xf>
    <xf numFmtId="175" fontId="36" fillId="2" borderId="92" xfId="2" applyNumberFormat="1" applyFont="1" applyFill="1" applyBorder="1" applyAlignment="1" applyProtection="1">
      <alignment horizontal="right" vertical="center"/>
      <protection hidden="1"/>
    </xf>
    <xf numFmtId="175" fontId="35" fillId="2" borderId="92" xfId="2" applyNumberFormat="1" applyFont="1" applyFill="1" applyBorder="1" applyAlignment="1" applyProtection="1">
      <alignment horizontal="right" vertical="center"/>
      <protection hidden="1"/>
    </xf>
    <xf numFmtId="175" fontId="12" fillId="2" borderId="92" xfId="2" applyNumberFormat="1" applyFont="1" applyFill="1" applyBorder="1" applyAlignment="1" applyProtection="1">
      <alignment horizontal="right" vertical="center"/>
      <protection hidden="1"/>
    </xf>
    <xf numFmtId="175" fontId="12" fillId="2" borderId="92" xfId="2" applyNumberFormat="1" applyFont="1" applyFill="1" applyBorder="1" applyAlignment="1" applyProtection="1">
      <alignment horizontal="right" vertical="center"/>
      <protection locked="0"/>
    </xf>
    <xf numFmtId="0" fontId="12" fillId="2" borderId="91" xfId="0" applyFont="1" applyFill="1" applyBorder="1" applyAlignment="1">
      <alignment horizontal="left" vertical="center"/>
    </xf>
    <xf numFmtId="175" fontId="36" fillId="2" borderId="92" xfId="2" applyNumberFormat="1" applyFont="1" applyFill="1" applyBorder="1" applyAlignment="1" applyProtection="1">
      <alignment horizontal="right" vertical="center"/>
      <protection locked="0"/>
    </xf>
    <xf numFmtId="175" fontId="12" fillId="2" borderId="92" xfId="0" applyNumberFormat="1" applyFont="1" applyFill="1" applyBorder="1" applyAlignment="1">
      <alignment horizontal="right" vertical="center"/>
    </xf>
    <xf numFmtId="0" fontId="12" fillId="2" borderId="93" xfId="0" applyFont="1" applyFill="1" applyBorder="1" applyAlignment="1">
      <alignment horizontal="left" vertical="center"/>
    </xf>
    <xf numFmtId="0" fontId="12" fillId="2" borderId="94" xfId="0" applyFont="1" applyFill="1" applyBorder="1" applyAlignment="1">
      <alignment vertical="center"/>
    </xf>
    <xf numFmtId="2" fontId="12" fillId="2" borderId="94" xfId="0" applyNumberFormat="1" applyFont="1" applyFill="1" applyBorder="1" applyAlignment="1">
      <alignment vertical="center"/>
    </xf>
    <xf numFmtId="2" fontId="12" fillId="2" borderId="94" xfId="0" applyNumberFormat="1" applyFont="1" applyFill="1" applyBorder="1" applyAlignment="1">
      <alignment horizontal="right" vertical="center"/>
    </xf>
    <xf numFmtId="2" fontId="12" fillId="2" borderId="95" xfId="0" applyNumberFormat="1" applyFont="1" applyFill="1" applyBorder="1" applyAlignment="1">
      <alignment vertical="center"/>
    </xf>
    <xf numFmtId="0" fontId="8" fillId="2" borderId="96" xfId="0" applyFont="1" applyFill="1" applyBorder="1" applyAlignment="1">
      <alignment horizontal="center" vertical="center"/>
    </xf>
    <xf numFmtId="175" fontId="12" fillId="2" borderId="97" xfId="0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horizontal="center"/>
    </xf>
    <xf numFmtId="2" fontId="42" fillId="2" borderId="0" xfId="0" applyNumberFormat="1" applyFont="1" applyFill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1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2" fontId="12" fillId="2" borderId="4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2" fillId="2" borderId="100" xfId="0" applyFont="1" applyFill="1" applyBorder="1" applyAlignment="1">
      <alignment horizontal="center" vertical="center"/>
    </xf>
    <xf numFmtId="0" fontId="12" fillId="2" borderId="101" xfId="0" applyFont="1" applyFill="1" applyBorder="1" applyAlignment="1">
      <alignment horizontal="center" vertical="center"/>
    </xf>
    <xf numFmtId="0" fontId="10" fillId="2" borderId="98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103" xfId="0" applyFont="1" applyFill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center" vertical="center" wrapText="1"/>
    </xf>
    <xf numFmtId="0" fontId="12" fillId="2" borderId="106" xfId="0" applyFont="1" applyFill="1" applyBorder="1" applyAlignment="1">
      <alignment horizontal="center" vertical="center" wrapText="1"/>
    </xf>
    <xf numFmtId="0" fontId="12" fillId="2" borderId="107" xfId="0" applyFont="1" applyFill="1" applyBorder="1" applyAlignment="1">
      <alignment horizontal="center" vertical="center" wrapText="1"/>
    </xf>
    <xf numFmtId="0" fontId="12" fillId="2" borderId="108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09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110" xfId="0" applyFont="1" applyFill="1" applyBorder="1" applyAlignment="1">
      <alignment horizontal="left" vertical="center" wrapText="1"/>
    </xf>
    <xf numFmtId="0" fontId="12" fillId="2" borderId="40" xfId="0" applyFont="1" applyFill="1" applyBorder="1" applyAlignment="1">
      <alignment horizontal="left" vertical="center" wrapText="1"/>
    </xf>
    <xf numFmtId="0" fontId="12" fillId="2" borderId="111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42" fillId="2" borderId="0" xfId="0" applyFont="1" applyFill="1" applyAlignment="1">
      <alignment horizontal="center"/>
    </xf>
    <xf numFmtId="0" fontId="5" fillId="2" borderId="11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2" borderId="1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16" fillId="2" borderId="118" xfId="0" applyFont="1" applyFill="1" applyBorder="1" applyAlignment="1">
      <alignment horizontal="center" vertical="center" wrapText="1"/>
    </xf>
    <xf numFmtId="0" fontId="16" fillId="2" borderId="119" xfId="0" applyFont="1" applyFill="1" applyBorder="1" applyAlignment="1">
      <alignment horizontal="center" vertical="center" wrapText="1"/>
    </xf>
    <xf numFmtId="0" fontId="16" fillId="2" borderId="120" xfId="0" applyFont="1" applyFill="1" applyBorder="1" applyAlignment="1">
      <alignment horizontal="center" vertical="center" wrapText="1"/>
    </xf>
    <xf numFmtId="0" fontId="34" fillId="2" borderId="113" xfId="0" applyFont="1" applyFill="1" applyBorder="1" applyAlignment="1">
      <alignment horizontal="center" vertical="center" wrapText="1"/>
    </xf>
    <xf numFmtId="0" fontId="34" fillId="2" borderId="115" xfId="0" applyFont="1" applyFill="1" applyBorder="1" applyAlignment="1">
      <alignment horizontal="center" vertical="center" wrapText="1"/>
    </xf>
    <xf numFmtId="0" fontId="34" fillId="2" borderId="121" xfId="0" applyNumberFormat="1" applyFont="1" applyFill="1" applyBorder="1" applyAlignment="1">
      <alignment horizontal="center" vertical="center" wrapText="1"/>
    </xf>
    <xf numFmtId="0" fontId="34" fillId="2" borderId="122" xfId="0" applyNumberFormat="1" applyFont="1" applyFill="1" applyBorder="1" applyAlignment="1">
      <alignment horizontal="center" vertical="center" wrapText="1"/>
    </xf>
    <xf numFmtId="0" fontId="34" fillId="2" borderId="57" xfId="0" applyNumberFormat="1" applyFont="1" applyFill="1" applyBorder="1" applyAlignment="1">
      <alignment horizontal="center" vertical="center" wrapText="1"/>
    </xf>
    <xf numFmtId="0" fontId="34" fillId="2" borderId="48" xfId="0" applyNumberFormat="1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 wrapText="1"/>
    </xf>
    <xf numFmtId="0" fontId="34" fillId="2" borderId="116" xfId="0" applyFont="1" applyFill="1" applyBorder="1" applyAlignment="1">
      <alignment horizontal="center"/>
    </xf>
    <xf numFmtId="0" fontId="34" fillId="2" borderId="123" xfId="0" applyFont="1" applyFill="1" applyBorder="1" applyAlignment="1">
      <alignment horizontal="center"/>
    </xf>
    <xf numFmtId="0" fontId="34" fillId="2" borderId="117" xfId="0" applyFont="1" applyFill="1" applyBorder="1" applyAlignment="1">
      <alignment horizontal="center"/>
    </xf>
    <xf numFmtId="0" fontId="34" fillId="2" borderId="116" xfId="0" applyFont="1" applyFill="1" applyBorder="1" applyAlignment="1">
      <alignment horizontal="center" vertical="center"/>
    </xf>
    <xf numFmtId="0" fontId="34" fillId="2" borderId="117" xfId="0" applyFont="1" applyFill="1" applyBorder="1" applyAlignment="1">
      <alignment horizontal="center" vertical="center"/>
    </xf>
    <xf numFmtId="0" fontId="34" fillId="2" borderId="114" xfId="0" applyFont="1" applyFill="1" applyBorder="1" applyAlignment="1">
      <alignment horizontal="center" vertical="center" wrapText="1"/>
    </xf>
    <xf numFmtId="0" fontId="34" fillId="2" borderId="67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TinhDaoNoiTC P5(English)" xfId="2"/>
    <cellStyle name="Normal_TRU-NT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emf"/><Relationship Id="rId7" Type="http://schemas.openxmlformats.org/officeDocument/2006/relationships/image" Target="../media/image22.png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10" Type="http://schemas.openxmlformats.org/officeDocument/2006/relationships/image" Target="../media/image25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48</xdr:row>
          <xdr:rowOff>9525</xdr:rowOff>
        </xdr:from>
        <xdr:to>
          <xdr:col>6</xdr:col>
          <xdr:colOff>238125</xdr:colOff>
          <xdr:row>50</xdr:row>
          <xdr:rowOff>104775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2AFB1446-FCFE-4DD1-9377-266638AC0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38100</xdr:rowOff>
        </xdr:from>
        <xdr:to>
          <xdr:col>6</xdr:col>
          <xdr:colOff>828675</xdr:colOff>
          <xdr:row>62</xdr:row>
          <xdr:rowOff>19050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8BD34437-1C08-48E7-9F33-87EC6E485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88</xdr:row>
          <xdr:rowOff>123825</xdr:rowOff>
        </xdr:from>
        <xdr:to>
          <xdr:col>5</xdr:col>
          <xdr:colOff>409575</xdr:colOff>
          <xdr:row>91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7EFEE477-9509-4FE4-9188-0C7C52DF3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92</xdr:row>
          <xdr:rowOff>19050</xdr:rowOff>
        </xdr:from>
        <xdr:to>
          <xdr:col>5</xdr:col>
          <xdr:colOff>638175</xdr:colOff>
          <xdr:row>94</xdr:row>
          <xdr:rowOff>152400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4C7E167D-0CE9-445B-98B0-04B64A897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19050</xdr:rowOff>
        </xdr:from>
        <xdr:to>
          <xdr:col>6</xdr:col>
          <xdr:colOff>847725</xdr:colOff>
          <xdr:row>55</xdr:row>
          <xdr:rowOff>0</xdr:rowOff>
        </xdr:to>
        <xdr:sp macro="" textlink="">
          <xdr:nvSpPr>
            <xdr:cNvPr id="6154" name="Object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95C73095-4302-4A00-97D7-1FF4F54F7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64</xdr:row>
          <xdr:rowOff>19050</xdr:rowOff>
        </xdr:from>
        <xdr:to>
          <xdr:col>6</xdr:col>
          <xdr:colOff>685800</xdr:colOff>
          <xdr:row>67</xdr:row>
          <xdr:rowOff>0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58E16D1-CE4F-4CE4-968B-BAFE4C7D4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112</xdr:row>
      <xdr:rowOff>123825</xdr:rowOff>
    </xdr:from>
    <xdr:to>
      <xdr:col>3</xdr:col>
      <xdr:colOff>0</xdr:colOff>
      <xdr:row>112</xdr:row>
      <xdr:rowOff>200025</xdr:rowOff>
    </xdr:to>
    <xdr:sp macro="" textlink="">
      <xdr:nvSpPr>
        <xdr:cNvPr id="23553" name="Rectangle 4">
          <a:extLst>
            <a:ext uri="{FF2B5EF4-FFF2-40B4-BE49-F238E27FC236}">
              <a16:creationId xmlns:a16="http://schemas.microsoft.com/office/drawing/2014/main" id="{F32E5595-9091-403A-A48D-1A86F06C5EBF}"/>
            </a:ext>
          </a:extLst>
        </xdr:cNvPr>
        <xdr:cNvSpPr>
          <a:spLocks noChangeArrowheads="1"/>
        </xdr:cNvSpPr>
      </xdr:nvSpPr>
      <xdr:spPr bwMode="auto">
        <a:xfrm>
          <a:off x="2190750" y="211550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123825</xdr:rowOff>
    </xdr:from>
    <xdr:to>
      <xdr:col>3</xdr:col>
      <xdr:colOff>0</xdr:colOff>
      <xdr:row>109</xdr:row>
      <xdr:rowOff>38100</xdr:rowOff>
    </xdr:to>
    <xdr:sp macro="" textlink="">
      <xdr:nvSpPr>
        <xdr:cNvPr id="23554" name="Rectangle 16">
          <a:extLst>
            <a:ext uri="{FF2B5EF4-FFF2-40B4-BE49-F238E27FC236}">
              <a16:creationId xmlns:a16="http://schemas.microsoft.com/office/drawing/2014/main" id="{A20C9088-6D09-4786-A539-2FC0C23F751F}"/>
            </a:ext>
          </a:extLst>
        </xdr:cNvPr>
        <xdr:cNvSpPr>
          <a:spLocks noChangeArrowheads="1"/>
        </xdr:cNvSpPr>
      </xdr:nvSpPr>
      <xdr:spPr bwMode="auto">
        <a:xfrm>
          <a:off x="2190750" y="2020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</xdr:row>
      <xdr:rowOff>123825</xdr:rowOff>
    </xdr:from>
    <xdr:to>
      <xdr:col>3</xdr:col>
      <xdr:colOff>0</xdr:colOff>
      <xdr:row>112</xdr:row>
      <xdr:rowOff>200025</xdr:rowOff>
    </xdr:to>
    <xdr:sp macro="" textlink="">
      <xdr:nvSpPr>
        <xdr:cNvPr id="23555" name="Rectangle 27">
          <a:extLst>
            <a:ext uri="{FF2B5EF4-FFF2-40B4-BE49-F238E27FC236}">
              <a16:creationId xmlns:a16="http://schemas.microsoft.com/office/drawing/2014/main" id="{9593703B-2611-4FEE-8ECF-075C3EAD6E8D}"/>
            </a:ext>
          </a:extLst>
        </xdr:cNvPr>
        <xdr:cNvSpPr>
          <a:spLocks noChangeArrowheads="1"/>
        </xdr:cNvSpPr>
      </xdr:nvSpPr>
      <xdr:spPr bwMode="auto">
        <a:xfrm>
          <a:off x="2190750" y="211550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228600</xdr:rowOff>
    </xdr:to>
    <xdr:sp macro="" textlink="">
      <xdr:nvSpPr>
        <xdr:cNvPr id="23556" name="Rectangle 4">
          <a:extLst>
            <a:ext uri="{FF2B5EF4-FFF2-40B4-BE49-F238E27FC236}">
              <a16:creationId xmlns:a16="http://schemas.microsoft.com/office/drawing/2014/main" id="{F95D9AA8-0A3F-4B66-AFB1-48CC581D9218}"/>
            </a:ext>
          </a:extLst>
        </xdr:cNvPr>
        <xdr:cNvSpPr>
          <a:spLocks noChangeArrowheads="1"/>
        </xdr:cNvSpPr>
      </xdr:nvSpPr>
      <xdr:spPr bwMode="auto">
        <a:xfrm>
          <a:off x="2190750" y="179355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100</xdr:row>
      <xdr:rowOff>9525</xdr:rowOff>
    </xdr:to>
    <xdr:sp macro="" textlink="">
      <xdr:nvSpPr>
        <xdr:cNvPr id="23557" name="Rectangle 16">
          <a:extLst>
            <a:ext uri="{FF2B5EF4-FFF2-40B4-BE49-F238E27FC236}">
              <a16:creationId xmlns:a16="http://schemas.microsoft.com/office/drawing/2014/main" id="{AF52F683-F7AF-4FDE-8586-93F69C9DC941}"/>
            </a:ext>
          </a:extLst>
        </xdr:cNvPr>
        <xdr:cNvSpPr>
          <a:spLocks noChangeArrowheads="1"/>
        </xdr:cNvSpPr>
      </xdr:nvSpPr>
      <xdr:spPr bwMode="auto">
        <a:xfrm>
          <a:off x="2190750" y="179355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228600</xdr:rowOff>
    </xdr:to>
    <xdr:sp macro="" textlink="">
      <xdr:nvSpPr>
        <xdr:cNvPr id="23558" name="Rectangle 27">
          <a:extLst>
            <a:ext uri="{FF2B5EF4-FFF2-40B4-BE49-F238E27FC236}">
              <a16:creationId xmlns:a16="http://schemas.microsoft.com/office/drawing/2014/main" id="{EC0D36D2-A7B1-4500-802B-D8577AFC6415}"/>
            </a:ext>
          </a:extLst>
        </xdr:cNvPr>
        <xdr:cNvSpPr>
          <a:spLocks noChangeArrowheads="1"/>
        </xdr:cNvSpPr>
      </xdr:nvSpPr>
      <xdr:spPr bwMode="auto">
        <a:xfrm>
          <a:off x="2190750" y="179355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123825</xdr:rowOff>
    </xdr:from>
    <xdr:to>
      <xdr:col>3</xdr:col>
      <xdr:colOff>0</xdr:colOff>
      <xdr:row>110</xdr:row>
      <xdr:rowOff>161925</xdr:rowOff>
    </xdr:to>
    <xdr:sp macro="" textlink="">
      <xdr:nvSpPr>
        <xdr:cNvPr id="23559" name="Rectangle 4">
          <a:extLst>
            <a:ext uri="{FF2B5EF4-FFF2-40B4-BE49-F238E27FC236}">
              <a16:creationId xmlns:a16="http://schemas.microsoft.com/office/drawing/2014/main" id="{388BE9AB-17F2-4105-AE65-B63C95C90304}"/>
            </a:ext>
          </a:extLst>
        </xdr:cNvPr>
        <xdr:cNvSpPr>
          <a:spLocks noChangeArrowheads="1"/>
        </xdr:cNvSpPr>
      </xdr:nvSpPr>
      <xdr:spPr bwMode="auto">
        <a:xfrm>
          <a:off x="2190750" y="20678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123825</xdr:rowOff>
    </xdr:from>
    <xdr:to>
      <xdr:col>3</xdr:col>
      <xdr:colOff>0</xdr:colOff>
      <xdr:row>108</xdr:row>
      <xdr:rowOff>38100</xdr:rowOff>
    </xdr:to>
    <xdr:sp macro="" textlink="">
      <xdr:nvSpPr>
        <xdr:cNvPr id="23560" name="Rectangle 16">
          <a:extLst>
            <a:ext uri="{FF2B5EF4-FFF2-40B4-BE49-F238E27FC236}">
              <a16:creationId xmlns:a16="http://schemas.microsoft.com/office/drawing/2014/main" id="{21877123-12E7-4F75-8F5D-0A00E957F3B5}"/>
            </a:ext>
          </a:extLst>
        </xdr:cNvPr>
        <xdr:cNvSpPr>
          <a:spLocks noChangeArrowheads="1"/>
        </xdr:cNvSpPr>
      </xdr:nvSpPr>
      <xdr:spPr bwMode="auto">
        <a:xfrm>
          <a:off x="2190750" y="19964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110</xdr:row>
      <xdr:rowOff>123825</xdr:rowOff>
    </xdr:from>
    <xdr:to>
      <xdr:col>3</xdr:col>
      <xdr:colOff>0</xdr:colOff>
      <xdr:row>110</xdr:row>
      <xdr:rowOff>161925</xdr:rowOff>
    </xdr:to>
    <xdr:sp macro="" textlink="">
      <xdr:nvSpPr>
        <xdr:cNvPr id="23561" name="Rectangle 27">
          <a:extLst>
            <a:ext uri="{FF2B5EF4-FFF2-40B4-BE49-F238E27FC236}">
              <a16:creationId xmlns:a16="http://schemas.microsoft.com/office/drawing/2014/main" id="{C0D9E4CA-DCC6-4F32-B8D2-F9D9515595D0}"/>
            </a:ext>
          </a:extLst>
        </xdr:cNvPr>
        <xdr:cNvSpPr>
          <a:spLocks noChangeArrowheads="1"/>
        </xdr:cNvSpPr>
      </xdr:nvSpPr>
      <xdr:spPr bwMode="auto">
        <a:xfrm>
          <a:off x="2190750" y="20678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0</xdr:colOff>
      <xdr:row>96</xdr:row>
      <xdr:rowOff>0</xdr:rowOff>
    </xdr:to>
    <xdr:sp macro="" textlink="">
      <xdr:nvSpPr>
        <xdr:cNvPr id="23562" name="Rectangle 4">
          <a:extLst>
            <a:ext uri="{FF2B5EF4-FFF2-40B4-BE49-F238E27FC236}">
              <a16:creationId xmlns:a16="http://schemas.microsoft.com/office/drawing/2014/main" id="{7B089BB0-1951-45C9-8DC0-9AEA9A9D3D2C}"/>
            </a:ext>
          </a:extLst>
        </xdr:cNvPr>
        <xdr:cNvSpPr>
          <a:spLocks noChangeArrowheads="1"/>
        </xdr:cNvSpPr>
      </xdr:nvSpPr>
      <xdr:spPr bwMode="auto">
        <a:xfrm>
          <a:off x="2190750" y="16983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0</xdr:colOff>
      <xdr:row>96</xdr:row>
      <xdr:rowOff>19050</xdr:rowOff>
    </xdr:to>
    <xdr:sp macro="" textlink="">
      <xdr:nvSpPr>
        <xdr:cNvPr id="23563" name="Rectangle 16">
          <a:extLst>
            <a:ext uri="{FF2B5EF4-FFF2-40B4-BE49-F238E27FC236}">
              <a16:creationId xmlns:a16="http://schemas.microsoft.com/office/drawing/2014/main" id="{828A757D-0B7A-4747-92AE-87F97F0002ED}"/>
            </a:ext>
          </a:extLst>
        </xdr:cNvPr>
        <xdr:cNvSpPr>
          <a:spLocks noChangeArrowheads="1"/>
        </xdr:cNvSpPr>
      </xdr:nvSpPr>
      <xdr:spPr bwMode="auto">
        <a:xfrm>
          <a:off x="2190750" y="169830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0</xdr:colOff>
      <xdr:row>96</xdr:row>
      <xdr:rowOff>0</xdr:rowOff>
    </xdr:to>
    <xdr:sp macro="" textlink="">
      <xdr:nvSpPr>
        <xdr:cNvPr id="23564" name="Rectangle 27">
          <a:extLst>
            <a:ext uri="{FF2B5EF4-FFF2-40B4-BE49-F238E27FC236}">
              <a16:creationId xmlns:a16="http://schemas.microsoft.com/office/drawing/2014/main" id="{E4A9C756-1294-4FE6-B4FB-B8646A8F538C}"/>
            </a:ext>
          </a:extLst>
        </xdr:cNvPr>
        <xdr:cNvSpPr>
          <a:spLocks noChangeArrowheads="1"/>
        </xdr:cNvSpPr>
      </xdr:nvSpPr>
      <xdr:spPr bwMode="auto">
        <a:xfrm>
          <a:off x="2190750" y="169830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65</xdr:row>
          <xdr:rowOff>0</xdr:rowOff>
        </xdr:from>
        <xdr:to>
          <xdr:col>4</xdr:col>
          <xdr:colOff>333375</xdr:colOff>
          <xdr:row>65</xdr:row>
          <xdr:rowOff>0</xdr:rowOff>
        </xdr:to>
        <xdr:sp macro="" textlink="">
          <xdr:nvSpPr>
            <xdr:cNvPr id="23565" name="Object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E20990F3-CBA6-4D99-8A1E-9C9153D35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105</xdr:row>
          <xdr:rowOff>85725</xdr:rowOff>
        </xdr:from>
        <xdr:to>
          <xdr:col>6</xdr:col>
          <xdr:colOff>104775</xdr:colOff>
          <xdr:row>106</xdr:row>
          <xdr:rowOff>200025</xdr:rowOff>
        </xdr:to>
        <xdr:sp macro="" textlink="">
          <xdr:nvSpPr>
            <xdr:cNvPr id="23566" name="Object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DE400341-E8DE-424A-A42F-2729CF3017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400050</xdr:colOff>
      <xdr:row>44</xdr:row>
      <xdr:rowOff>0</xdr:rowOff>
    </xdr:from>
    <xdr:to>
      <xdr:col>22</xdr:col>
      <xdr:colOff>571500</xdr:colOff>
      <xdr:row>69</xdr:row>
      <xdr:rowOff>133350</xdr:rowOff>
    </xdr:to>
    <xdr:pic>
      <xdr:nvPicPr>
        <xdr:cNvPr id="23567" name="Picture 15">
          <a:extLst>
            <a:ext uri="{FF2B5EF4-FFF2-40B4-BE49-F238E27FC236}">
              <a16:creationId xmlns:a16="http://schemas.microsoft.com/office/drawing/2014/main" id="{F8149432-E392-464E-AF9B-0E484C58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7191375"/>
          <a:ext cx="4619625" cy="479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866775</xdr:colOff>
      <xdr:row>74</xdr:row>
      <xdr:rowOff>0</xdr:rowOff>
    </xdr:from>
    <xdr:to>
      <xdr:col>22</xdr:col>
      <xdr:colOff>504825</xdr:colOff>
      <xdr:row>94</xdr:row>
      <xdr:rowOff>133350</xdr:rowOff>
    </xdr:to>
    <xdr:pic>
      <xdr:nvPicPr>
        <xdr:cNvPr id="23568" name="Picture 16">
          <a:extLst>
            <a:ext uri="{FF2B5EF4-FFF2-40B4-BE49-F238E27FC236}">
              <a16:creationId xmlns:a16="http://schemas.microsoft.com/office/drawing/2014/main" id="{02CAB11F-8855-4EE9-B944-5AA690ED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2801600"/>
          <a:ext cx="435292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123825</xdr:colOff>
      <xdr:row>275</xdr:row>
      <xdr:rowOff>76200</xdr:rowOff>
    </xdr:from>
    <xdr:to>
      <xdr:col>85</xdr:col>
      <xdr:colOff>161925</xdr:colOff>
      <xdr:row>296</xdr:row>
      <xdr:rowOff>152400</xdr:rowOff>
    </xdr:to>
    <xdr:pic>
      <xdr:nvPicPr>
        <xdr:cNvPr id="23575" name="Picture 23">
          <a:extLst>
            <a:ext uri="{FF2B5EF4-FFF2-40B4-BE49-F238E27FC236}">
              <a16:creationId xmlns:a16="http://schemas.microsoft.com/office/drawing/2014/main" id="{802D0450-458B-4372-911E-32E4F0FE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1950" y="53606700"/>
          <a:ext cx="8572500" cy="424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50</xdr:row>
          <xdr:rowOff>38100</xdr:rowOff>
        </xdr:from>
        <xdr:to>
          <xdr:col>13</xdr:col>
          <xdr:colOff>571500</xdr:colOff>
          <xdr:row>67</xdr:row>
          <xdr:rowOff>76200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EFBD648D-23C0-4BE9-BE9B-54A3C09A7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72</xdr:row>
          <xdr:rowOff>123825</xdr:rowOff>
        </xdr:from>
        <xdr:to>
          <xdr:col>13</xdr:col>
          <xdr:colOff>752475</xdr:colOff>
          <xdr:row>90</xdr:row>
          <xdr:rowOff>114300</xdr:rowOff>
        </xdr:to>
        <xdr:sp macro="" textlink="">
          <xdr:nvSpPr>
            <xdr:cNvPr id="23585" name="Object 33" hidden="1">
              <a:extLst>
                <a:ext uri="{63B3BB69-23CF-44E3-9099-C40C66FF867C}">
                  <a14:compatExt spid="_x0000_s23585"/>
                </a:ext>
                <a:ext uri="{FF2B5EF4-FFF2-40B4-BE49-F238E27FC236}">
                  <a16:creationId xmlns:a16="http://schemas.microsoft.com/office/drawing/2014/main" id="{24EDBE86-61BA-4582-9C80-391EC19EAE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128</xdr:row>
          <xdr:rowOff>171450</xdr:rowOff>
        </xdr:from>
        <xdr:to>
          <xdr:col>5</xdr:col>
          <xdr:colOff>733425</xdr:colOff>
          <xdr:row>151</xdr:row>
          <xdr:rowOff>0</xdr:rowOff>
        </xdr:to>
        <xdr:sp macro="" textlink="">
          <xdr:nvSpPr>
            <xdr:cNvPr id="23599" name="Object 47" hidden="1">
              <a:extLst>
                <a:ext uri="{63B3BB69-23CF-44E3-9099-C40C66FF867C}">
                  <a14:compatExt spid="_x0000_s23599"/>
                </a:ext>
                <a:ext uri="{FF2B5EF4-FFF2-40B4-BE49-F238E27FC236}">
                  <a16:creationId xmlns:a16="http://schemas.microsoft.com/office/drawing/2014/main" id="{C5D62FE9-DFA4-4E53-B104-A45587D6C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178</xdr:row>
          <xdr:rowOff>0</xdr:rowOff>
        </xdr:from>
        <xdr:to>
          <xdr:col>6</xdr:col>
          <xdr:colOff>647700</xdr:colOff>
          <xdr:row>193</xdr:row>
          <xdr:rowOff>161925</xdr:rowOff>
        </xdr:to>
        <xdr:sp macro="" textlink="">
          <xdr:nvSpPr>
            <xdr:cNvPr id="23608" name="Object 56" hidden="1">
              <a:extLst>
                <a:ext uri="{63B3BB69-23CF-44E3-9099-C40C66FF867C}">
                  <a14:compatExt spid="_x0000_s23608"/>
                </a:ext>
                <a:ext uri="{FF2B5EF4-FFF2-40B4-BE49-F238E27FC236}">
                  <a16:creationId xmlns:a16="http://schemas.microsoft.com/office/drawing/2014/main" id="{75A1C5CC-25C6-4E71-9D76-58E98B0F8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552450</xdr:colOff>
      <xdr:row>178</xdr:row>
      <xdr:rowOff>9525</xdr:rowOff>
    </xdr:from>
    <xdr:to>
      <xdr:col>12</xdr:col>
      <xdr:colOff>866775</xdr:colOff>
      <xdr:row>193</xdr:row>
      <xdr:rowOff>66675</xdr:rowOff>
    </xdr:to>
    <xdr:pic>
      <xdr:nvPicPr>
        <xdr:cNvPr id="23614" name="Picture 62">
          <a:extLst>
            <a:ext uri="{FF2B5EF4-FFF2-40B4-BE49-F238E27FC236}">
              <a16:creationId xmlns:a16="http://schemas.microsoft.com/office/drawing/2014/main" id="{E5F0AABC-CBDA-4567-8DEE-27797EB3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72000" contrast="8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33909000"/>
          <a:ext cx="41148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130</xdr:row>
          <xdr:rowOff>66675</xdr:rowOff>
        </xdr:from>
        <xdr:to>
          <xdr:col>11</xdr:col>
          <xdr:colOff>590550</xdr:colOff>
          <xdr:row>145</xdr:row>
          <xdr:rowOff>171450</xdr:rowOff>
        </xdr:to>
        <xdr:sp macro="" textlink="">
          <xdr:nvSpPr>
            <xdr:cNvPr id="23622" name="Object 70" hidden="1">
              <a:extLst>
                <a:ext uri="{63B3BB69-23CF-44E3-9099-C40C66FF867C}">
                  <a14:compatExt spid="_x0000_s23622"/>
                </a:ext>
                <a:ext uri="{FF2B5EF4-FFF2-40B4-BE49-F238E27FC236}">
                  <a16:creationId xmlns:a16="http://schemas.microsoft.com/office/drawing/2014/main" id="{B05360EC-78A5-47EB-89AC-A150F742D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130</xdr:row>
          <xdr:rowOff>76200</xdr:rowOff>
        </xdr:from>
        <xdr:to>
          <xdr:col>7</xdr:col>
          <xdr:colOff>438150</xdr:colOff>
          <xdr:row>146</xdr:row>
          <xdr:rowOff>0</xdr:rowOff>
        </xdr:to>
        <xdr:sp macro="" textlink="">
          <xdr:nvSpPr>
            <xdr:cNvPr id="23623" name="Object 71" hidden="1">
              <a:extLst>
                <a:ext uri="{63B3BB69-23CF-44E3-9099-C40C66FF867C}">
                  <a14:compatExt spid="_x0000_s23623"/>
                </a:ext>
                <a:ext uri="{FF2B5EF4-FFF2-40B4-BE49-F238E27FC236}">
                  <a16:creationId xmlns:a16="http://schemas.microsoft.com/office/drawing/2014/main" id="{E7C5A7E7-62A2-47C2-BCA0-2B95CB4F0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295275</xdr:colOff>
      <xdr:row>196</xdr:row>
      <xdr:rowOff>9525</xdr:rowOff>
    </xdr:from>
    <xdr:to>
      <xdr:col>6</xdr:col>
      <xdr:colOff>228600</xdr:colOff>
      <xdr:row>211</xdr:row>
      <xdr:rowOff>133350</xdr:rowOff>
    </xdr:to>
    <xdr:pic>
      <xdr:nvPicPr>
        <xdr:cNvPr id="23625" name="Picture 73">
          <a:extLst>
            <a:ext uri="{FF2B5EF4-FFF2-40B4-BE49-F238E27FC236}">
              <a16:creationId xmlns:a16="http://schemas.microsoft.com/office/drawing/2014/main" id="{80367E86-07DE-4FB3-9FF7-E0AFFDA1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328475"/>
          <a:ext cx="3829050" cy="298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152400</xdr:colOff>
      <xdr:row>196</xdr:row>
      <xdr:rowOff>85725</xdr:rowOff>
    </xdr:from>
    <xdr:to>
      <xdr:col>12</xdr:col>
      <xdr:colOff>942975</xdr:colOff>
      <xdr:row>211</xdr:row>
      <xdr:rowOff>19050</xdr:rowOff>
    </xdr:to>
    <xdr:pic>
      <xdr:nvPicPr>
        <xdr:cNvPr id="23626" name="Picture 74">
          <a:extLst>
            <a:ext uri="{FF2B5EF4-FFF2-40B4-BE49-F238E27FC236}">
              <a16:creationId xmlns:a16="http://schemas.microsoft.com/office/drawing/2014/main" id="{B622C44F-E454-44F3-866D-E6B79F03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37404675"/>
          <a:ext cx="3952875" cy="2790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293</xdr:row>
          <xdr:rowOff>142875</xdr:rowOff>
        </xdr:from>
        <xdr:to>
          <xdr:col>12</xdr:col>
          <xdr:colOff>361950</xdr:colOff>
          <xdr:row>313</xdr:row>
          <xdr:rowOff>133350</xdr:rowOff>
        </xdr:to>
        <xdr:sp macro="" textlink="">
          <xdr:nvSpPr>
            <xdr:cNvPr id="23627" name="Object 75" hidden="1">
              <a:extLst>
                <a:ext uri="{63B3BB69-23CF-44E3-9099-C40C66FF867C}">
                  <a14:compatExt spid="_x0000_s23627"/>
                </a:ext>
                <a:ext uri="{FF2B5EF4-FFF2-40B4-BE49-F238E27FC236}">
                  <a16:creationId xmlns:a16="http://schemas.microsoft.com/office/drawing/2014/main" id="{C3BD88D1-1F76-4B8A-9C36-A619A56C2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66675</xdr:colOff>
      <xdr:row>335</xdr:row>
      <xdr:rowOff>152400</xdr:rowOff>
    </xdr:from>
    <xdr:to>
      <xdr:col>4</xdr:col>
      <xdr:colOff>257175</xdr:colOff>
      <xdr:row>353</xdr:row>
      <xdr:rowOff>38100</xdr:rowOff>
    </xdr:to>
    <xdr:pic>
      <xdr:nvPicPr>
        <xdr:cNvPr id="23639" name="Picture 87">
          <a:extLst>
            <a:ext uri="{FF2B5EF4-FFF2-40B4-BE49-F238E27FC236}">
              <a16:creationId xmlns:a16="http://schemas.microsoft.com/office/drawing/2014/main" id="{25716D74-CE4F-45D4-B0C7-39D18C53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65131950"/>
          <a:ext cx="990600" cy="3257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228600</xdr:colOff>
      <xdr:row>336</xdr:row>
      <xdr:rowOff>38100</xdr:rowOff>
    </xdr:from>
    <xdr:to>
      <xdr:col>2</xdr:col>
      <xdr:colOff>66675</xdr:colOff>
      <xdr:row>353</xdr:row>
      <xdr:rowOff>19050</xdr:rowOff>
    </xdr:to>
    <xdr:pic>
      <xdr:nvPicPr>
        <xdr:cNvPr id="23640" name="Picture 88">
          <a:extLst>
            <a:ext uri="{FF2B5EF4-FFF2-40B4-BE49-F238E27FC236}">
              <a16:creationId xmlns:a16="http://schemas.microsoft.com/office/drawing/2014/main" id="{9DCF4D70-5828-4F32-9B73-DB613BF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5208150"/>
          <a:ext cx="628650" cy="3162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357</xdr:row>
          <xdr:rowOff>9525</xdr:rowOff>
        </xdr:from>
        <xdr:to>
          <xdr:col>6</xdr:col>
          <xdr:colOff>695325</xdr:colOff>
          <xdr:row>374</xdr:row>
          <xdr:rowOff>76200</xdr:rowOff>
        </xdr:to>
        <xdr:sp macro="" textlink="">
          <xdr:nvSpPr>
            <xdr:cNvPr id="23641" name="Object 89" hidden="1">
              <a:extLst>
                <a:ext uri="{63B3BB69-23CF-44E3-9099-C40C66FF867C}">
                  <a14:compatExt spid="_x0000_s23641"/>
                </a:ext>
                <a:ext uri="{FF2B5EF4-FFF2-40B4-BE49-F238E27FC236}">
                  <a16:creationId xmlns:a16="http://schemas.microsoft.com/office/drawing/2014/main" id="{63332916-FDBC-4797-86CB-4137B29C0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447675</xdr:colOff>
      <xdr:row>357</xdr:row>
      <xdr:rowOff>38100</xdr:rowOff>
    </xdr:from>
    <xdr:to>
      <xdr:col>13</xdr:col>
      <xdr:colOff>171450</xdr:colOff>
      <xdr:row>374</xdr:row>
      <xdr:rowOff>142875</xdr:rowOff>
    </xdr:to>
    <xdr:pic>
      <xdr:nvPicPr>
        <xdr:cNvPr id="23642" name="Picture 90">
          <a:extLst>
            <a:ext uri="{FF2B5EF4-FFF2-40B4-BE49-F238E27FC236}">
              <a16:creationId xmlns:a16="http://schemas.microsoft.com/office/drawing/2014/main" id="{F34BE862-FA46-4B1C-A8FE-EAFD31C4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72000" contrast="8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9170550"/>
          <a:ext cx="457200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386</xdr:row>
      <xdr:rowOff>104775</xdr:rowOff>
    </xdr:from>
    <xdr:to>
      <xdr:col>6</xdr:col>
      <xdr:colOff>95250</xdr:colOff>
      <xdr:row>401</xdr:row>
      <xdr:rowOff>66675</xdr:rowOff>
    </xdr:to>
    <xdr:pic>
      <xdr:nvPicPr>
        <xdr:cNvPr id="23643" name="Picture 91">
          <a:extLst>
            <a:ext uri="{FF2B5EF4-FFF2-40B4-BE49-F238E27FC236}">
              <a16:creationId xmlns:a16="http://schemas.microsoft.com/office/drawing/2014/main" id="{CCCA6559-F37F-461C-99F8-B7C36753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4704575"/>
          <a:ext cx="3924300" cy="2819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386</xdr:row>
      <xdr:rowOff>76200</xdr:rowOff>
    </xdr:from>
    <xdr:to>
      <xdr:col>12</xdr:col>
      <xdr:colOff>657225</xdr:colOff>
      <xdr:row>400</xdr:row>
      <xdr:rowOff>85725</xdr:rowOff>
    </xdr:to>
    <xdr:pic>
      <xdr:nvPicPr>
        <xdr:cNvPr id="23644" name="Picture 92">
          <a:extLst>
            <a:ext uri="{FF2B5EF4-FFF2-40B4-BE49-F238E27FC236}">
              <a16:creationId xmlns:a16="http://schemas.microsoft.com/office/drawing/2014/main" id="{024DBDA0-F05B-43BE-8B23-A39C718F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-30000" contrast="4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74676000"/>
          <a:ext cx="4000500" cy="2676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13" Type="http://schemas.openxmlformats.org/officeDocument/2006/relationships/image" Target="../media/image11.emf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oleObject" Target="../embeddings/oleObject11.bin"/><Relationship Id="rId17" Type="http://schemas.openxmlformats.org/officeDocument/2006/relationships/image" Target="../media/image13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oleObject" Target="../embeddings/oleObject10.bin"/><Relationship Id="rId19" Type="http://schemas.openxmlformats.org/officeDocument/2006/relationships/image" Target="../media/image14.e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9.emf"/><Relationship Id="rId14" Type="http://schemas.openxmlformats.org/officeDocument/2006/relationships/oleObject" Target="../embeddings/oleObject12.bin"/><Relationship Id="rId22" Type="http://schemas.openxmlformats.org/officeDocument/2006/relationships/oleObject" Target="../embeddings/oleObject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2"/>
  </sheetPr>
  <dimension ref="A1:S132"/>
  <sheetViews>
    <sheetView showGridLines="0" view="pageBreakPreview" zoomScaleNormal="130" zoomScaleSheetLayoutView="100" workbookViewId="0">
      <selection activeCell="F19" sqref="F19"/>
    </sheetView>
  </sheetViews>
  <sheetFormatPr defaultRowHeight="12.75" x14ac:dyDescent="0.2"/>
  <cols>
    <col min="1" max="1" width="6.7109375" style="24" customWidth="1"/>
    <col min="2" max="2" width="6.140625" style="24" customWidth="1"/>
    <col min="3" max="4" width="10.7109375" style="24" customWidth="1"/>
    <col min="5" max="5" width="15.28515625" style="24" customWidth="1"/>
    <col min="6" max="6" width="17.85546875" style="24" customWidth="1"/>
    <col min="7" max="7" width="13.7109375" style="24" customWidth="1"/>
    <col min="8" max="8" width="5.28515625" style="24" customWidth="1"/>
    <col min="9" max="9" width="7.7109375" style="24" bestFit="1" customWidth="1"/>
    <col min="10" max="11" width="6.140625" style="24" bestFit="1" customWidth="1"/>
    <col min="12" max="12" width="6.140625" style="24" customWidth="1"/>
    <col min="13" max="15" width="9.140625" style="24"/>
    <col min="16" max="16" width="17.140625" style="24" customWidth="1"/>
    <col min="17" max="17" width="9" style="24" bestFit="1" customWidth="1"/>
    <col min="18" max="18" width="7" style="24" bestFit="1" customWidth="1"/>
    <col min="19" max="16384" width="9.140625" style="24"/>
  </cols>
  <sheetData>
    <row r="1" spans="1:19" s="20" customFormat="1" ht="22.5" x14ac:dyDescent="0.4">
      <c r="A1" s="446" t="s">
        <v>584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306"/>
      <c r="M1" s="353" t="s">
        <v>451</v>
      </c>
      <c r="P1" s="21" t="s">
        <v>31</v>
      </c>
      <c r="Q1" s="21"/>
      <c r="R1" s="21"/>
      <c r="S1" s="21"/>
    </row>
    <row r="2" spans="1:19" s="20" customFormat="1" ht="22.5" x14ac:dyDescent="0.4">
      <c r="A2" s="446" t="s">
        <v>585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306"/>
      <c r="P2" s="21"/>
      <c r="Q2" s="21"/>
      <c r="R2" s="21"/>
      <c r="S2" s="21"/>
    </row>
    <row r="3" spans="1:19" x14ac:dyDescent="0.2">
      <c r="A3" s="307" t="s">
        <v>265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P3" s="25" t="s">
        <v>32</v>
      </c>
      <c r="Q3" s="26">
        <v>96</v>
      </c>
      <c r="R3" s="25" t="s">
        <v>37</v>
      </c>
      <c r="S3" s="25"/>
    </row>
    <row r="4" spans="1:19" x14ac:dyDescent="0.2">
      <c r="A4" s="2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P4" s="25"/>
      <c r="Q4" s="26"/>
      <c r="R4" s="25"/>
      <c r="S4" s="25"/>
    </row>
    <row r="5" spans="1:19" x14ac:dyDescent="0.2">
      <c r="A5" s="105" t="s">
        <v>266</v>
      </c>
      <c r="B5" s="105"/>
      <c r="C5" s="106"/>
      <c r="D5" s="106"/>
      <c r="E5" s="106"/>
      <c r="P5" s="25" t="s">
        <v>33</v>
      </c>
      <c r="Q5" s="25">
        <v>74</v>
      </c>
      <c r="R5" s="25" t="s">
        <v>36</v>
      </c>
      <c r="S5" s="25"/>
    </row>
    <row r="6" spans="1:19" ht="13.5" thickBot="1" x14ac:dyDescent="0.25">
      <c r="A6" s="107" t="s">
        <v>267</v>
      </c>
      <c r="P6" s="25" t="s">
        <v>34</v>
      </c>
      <c r="Q6" s="27">
        <f>J11</f>
        <v>9</v>
      </c>
      <c r="R6" s="25" t="s">
        <v>13</v>
      </c>
      <c r="S6" s="25"/>
    </row>
    <row r="7" spans="1:19" x14ac:dyDescent="0.2">
      <c r="A7" s="38" t="s">
        <v>268</v>
      </c>
      <c r="I7" s="73" t="s">
        <v>0</v>
      </c>
      <c r="J7" s="79">
        <v>4.76</v>
      </c>
      <c r="K7" s="29" t="s">
        <v>9</v>
      </c>
      <c r="L7" s="66"/>
      <c r="P7" s="25" t="s">
        <v>35</v>
      </c>
      <c r="Q7" s="25">
        <f>+Q3*Q5*Q6</f>
        <v>63936</v>
      </c>
      <c r="R7" s="25" t="s">
        <v>38</v>
      </c>
      <c r="S7" s="25"/>
    </row>
    <row r="8" spans="1:19" ht="14.25" x14ac:dyDescent="0.25">
      <c r="A8" s="38" t="s">
        <v>269</v>
      </c>
      <c r="I8" s="74" t="s">
        <v>1</v>
      </c>
      <c r="J8" s="80">
        <v>2.8</v>
      </c>
      <c r="K8" s="31" t="s">
        <v>9</v>
      </c>
      <c r="L8" s="66"/>
      <c r="P8" s="21" t="s">
        <v>39</v>
      </c>
      <c r="Q8" s="21"/>
      <c r="R8" s="21"/>
      <c r="S8" s="25"/>
    </row>
    <row r="9" spans="1:19" x14ac:dyDescent="0.2">
      <c r="A9" s="38" t="s">
        <v>270</v>
      </c>
      <c r="I9" s="75" t="s">
        <v>3</v>
      </c>
      <c r="J9" s="108">
        <v>1</v>
      </c>
      <c r="K9" s="31" t="s">
        <v>9</v>
      </c>
      <c r="L9" s="66"/>
      <c r="N9" s="109"/>
      <c r="P9" s="32"/>
      <c r="Q9" s="33"/>
      <c r="R9" s="32"/>
    </row>
    <row r="10" spans="1:19" x14ac:dyDescent="0.2">
      <c r="A10" s="38" t="s">
        <v>271</v>
      </c>
      <c r="I10" s="74" t="s">
        <v>8</v>
      </c>
      <c r="J10" s="81">
        <f>+J7-J8</f>
        <v>1.96</v>
      </c>
      <c r="K10" s="31" t="s">
        <v>9</v>
      </c>
      <c r="L10" s="66"/>
      <c r="P10" s="32"/>
      <c r="Q10" s="32"/>
      <c r="R10" s="32"/>
    </row>
    <row r="11" spans="1:19" x14ac:dyDescent="0.2">
      <c r="A11" s="38" t="s">
        <v>272</v>
      </c>
      <c r="I11" s="35" t="s">
        <v>20</v>
      </c>
      <c r="J11" s="108">
        <v>9</v>
      </c>
      <c r="K11" s="31" t="s">
        <v>9</v>
      </c>
      <c r="L11" s="66"/>
      <c r="P11" s="32"/>
      <c r="Q11" s="34"/>
      <c r="R11" s="32"/>
    </row>
    <row r="12" spans="1:19" x14ac:dyDescent="0.2">
      <c r="A12" s="38" t="s">
        <v>273</v>
      </c>
      <c r="I12" s="35" t="s">
        <v>93</v>
      </c>
      <c r="J12" s="81">
        <f>J7+0.5-J11</f>
        <v>-3.74</v>
      </c>
      <c r="K12" s="31" t="s">
        <v>9</v>
      </c>
      <c r="L12" s="66"/>
      <c r="P12" s="32"/>
      <c r="Q12" s="32"/>
      <c r="R12" s="32"/>
    </row>
    <row r="13" spans="1:19" x14ac:dyDescent="0.2">
      <c r="A13" s="38" t="s">
        <v>274</v>
      </c>
      <c r="I13" s="35" t="s">
        <v>40</v>
      </c>
      <c r="J13" s="80">
        <v>4.08</v>
      </c>
      <c r="K13" s="31" t="s">
        <v>9</v>
      </c>
      <c r="L13" s="66"/>
      <c r="P13" s="32"/>
      <c r="Q13" s="32"/>
      <c r="R13" s="32"/>
    </row>
    <row r="14" spans="1:19" x14ac:dyDescent="0.2">
      <c r="A14" s="38" t="s">
        <v>275</v>
      </c>
      <c r="I14" s="35" t="s">
        <v>26</v>
      </c>
      <c r="J14" s="81">
        <f>+J8-J12-0.1-J9</f>
        <v>5.44</v>
      </c>
      <c r="K14" s="31" t="s">
        <v>9</v>
      </c>
      <c r="L14" s="66"/>
      <c r="M14" s="109"/>
      <c r="N14" s="109"/>
      <c r="P14" s="32"/>
      <c r="Q14" s="32"/>
      <c r="R14" s="32"/>
    </row>
    <row r="15" spans="1:19" ht="13.5" thickBot="1" x14ac:dyDescent="0.25">
      <c r="A15" s="38" t="s">
        <v>276</v>
      </c>
      <c r="I15" s="76" t="s">
        <v>2</v>
      </c>
      <c r="J15" s="82">
        <f>J9+J10+0.1</f>
        <v>3.06</v>
      </c>
      <c r="K15" s="37" t="s">
        <v>9</v>
      </c>
      <c r="L15" s="66"/>
      <c r="M15" s="109"/>
      <c r="P15" s="32"/>
      <c r="Q15" s="32"/>
      <c r="R15" s="32"/>
    </row>
    <row r="16" spans="1:19" x14ac:dyDescent="0.2">
      <c r="A16" s="38"/>
      <c r="I16" s="67"/>
      <c r="J16" s="71"/>
      <c r="K16" s="66"/>
      <c r="L16" s="66"/>
      <c r="P16" s="32"/>
      <c r="Q16" s="32"/>
      <c r="R16" s="32"/>
    </row>
    <row r="17" spans="1:15" ht="13.5" thickBot="1" x14ac:dyDescent="0.25">
      <c r="A17" s="107" t="s">
        <v>277</v>
      </c>
      <c r="I17" s="38"/>
      <c r="J17" s="39"/>
    </row>
    <row r="18" spans="1:15" x14ac:dyDescent="0.2">
      <c r="A18" s="38" t="s">
        <v>278</v>
      </c>
      <c r="I18" s="28" t="s">
        <v>4</v>
      </c>
      <c r="J18" s="40">
        <v>7.4</v>
      </c>
      <c r="K18" s="29" t="s">
        <v>9</v>
      </c>
      <c r="L18" s="66"/>
    </row>
    <row r="19" spans="1:15" x14ac:dyDescent="0.2">
      <c r="A19" s="38" t="s">
        <v>279</v>
      </c>
      <c r="I19" s="30" t="s">
        <v>5</v>
      </c>
      <c r="J19" s="41">
        <v>13.1</v>
      </c>
      <c r="K19" s="31" t="s">
        <v>9</v>
      </c>
      <c r="L19" s="66"/>
    </row>
    <row r="20" spans="1:15" ht="15" x14ac:dyDescent="0.2">
      <c r="A20" s="38" t="s">
        <v>280</v>
      </c>
      <c r="I20" s="30" t="s">
        <v>6</v>
      </c>
      <c r="J20" s="42">
        <f>J18*J19</f>
        <v>96.94</v>
      </c>
      <c r="K20" s="31" t="s">
        <v>209</v>
      </c>
      <c r="L20" s="66"/>
    </row>
    <row r="21" spans="1:15" ht="13.5" thickBot="1" x14ac:dyDescent="0.25">
      <c r="A21" s="38" t="s">
        <v>281</v>
      </c>
      <c r="I21" s="36" t="s">
        <v>7</v>
      </c>
      <c r="J21" s="43">
        <f>2*(J18+J19)</f>
        <v>41</v>
      </c>
      <c r="K21" s="37" t="s">
        <v>9</v>
      </c>
      <c r="L21" s="66"/>
    </row>
    <row r="22" spans="1:15" x14ac:dyDescent="0.2">
      <c r="I22" s="67"/>
      <c r="J22" s="70"/>
      <c r="K22" s="66"/>
      <c r="L22" s="66"/>
    </row>
    <row r="23" spans="1:15" ht="13.5" thickBot="1" x14ac:dyDescent="0.25">
      <c r="A23" s="107" t="s">
        <v>282</v>
      </c>
      <c r="I23" s="38"/>
      <c r="J23" s="39"/>
    </row>
    <row r="24" spans="1:15" x14ac:dyDescent="0.2">
      <c r="A24" s="38" t="s">
        <v>283</v>
      </c>
      <c r="I24" s="78" t="s">
        <v>16</v>
      </c>
      <c r="J24" s="44">
        <v>1.2</v>
      </c>
      <c r="K24" s="29" t="s">
        <v>9</v>
      </c>
      <c r="L24" s="66"/>
    </row>
    <row r="25" spans="1:15" x14ac:dyDescent="0.2">
      <c r="A25" s="38" t="s">
        <v>284</v>
      </c>
      <c r="I25" s="30" t="s">
        <v>10</v>
      </c>
      <c r="J25" s="45">
        <f>IF(I24="D",(PI()*J24),(4*J24))</f>
        <v>3.7699111843077517</v>
      </c>
      <c r="K25" s="31" t="s">
        <v>9</v>
      </c>
      <c r="L25" s="66"/>
    </row>
    <row r="26" spans="1:15" ht="13.5" thickBot="1" x14ac:dyDescent="0.25">
      <c r="A26" s="38" t="s">
        <v>285</v>
      </c>
      <c r="I26" s="36" t="s">
        <v>11</v>
      </c>
      <c r="J26" s="46">
        <v>4</v>
      </c>
      <c r="K26" s="37"/>
      <c r="L26" s="66"/>
    </row>
    <row r="27" spans="1:15" x14ac:dyDescent="0.2">
      <c r="I27" s="67"/>
      <c r="J27" s="69"/>
      <c r="K27" s="66"/>
      <c r="L27" s="66"/>
    </row>
    <row r="28" spans="1:15" ht="13.5" thickBot="1" x14ac:dyDescent="0.25">
      <c r="A28" s="107" t="s">
        <v>286</v>
      </c>
      <c r="I28" s="38"/>
      <c r="J28" s="39"/>
    </row>
    <row r="29" spans="1:15" ht="14.25" x14ac:dyDescent="0.25">
      <c r="A29" s="38" t="s">
        <v>287</v>
      </c>
      <c r="I29" s="28" t="s">
        <v>210</v>
      </c>
      <c r="J29" s="44">
        <v>89.04</v>
      </c>
      <c r="K29" s="29" t="s">
        <v>25</v>
      </c>
      <c r="L29" s="66"/>
      <c r="O29" s="47"/>
    </row>
    <row r="30" spans="1:15" ht="14.25" x14ac:dyDescent="0.25">
      <c r="A30" s="38" t="s">
        <v>288</v>
      </c>
      <c r="I30" s="30" t="s">
        <v>211</v>
      </c>
      <c r="J30" s="48">
        <v>8.9600000000000009</v>
      </c>
      <c r="K30" s="31" t="s">
        <v>25</v>
      </c>
      <c r="L30" s="66"/>
    </row>
    <row r="31" spans="1:15" ht="14.25" x14ac:dyDescent="0.25">
      <c r="A31" s="38" t="s">
        <v>289</v>
      </c>
      <c r="I31" s="30" t="s">
        <v>212</v>
      </c>
      <c r="J31" s="45">
        <f>2*J21*J14*J43</f>
        <v>446.08000000000004</v>
      </c>
      <c r="K31" s="31" t="s">
        <v>25</v>
      </c>
      <c r="L31" s="66"/>
    </row>
    <row r="32" spans="1:15" ht="14.25" x14ac:dyDescent="0.25">
      <c r="A32" s="38" t="s">
        <v>290</v>
      </c>
      <c r="I32" s="30" t="s">
        <v>213</v>
      </c>
      <c r="J32" s="45">
        <f>J21*J9*J42</f>
        <v>246</v>
      </c>
      <c r="K32" s="31" t="s">
        <v>25</v>
      </c>
      <c r="L32" s="66"/>
    </row>
    <row r="33" spans="1:12" ht="15.75" x14ac:dyDescent="0.25">
      <c r="A33" s="38" t="s">
        <v>291</v>
      </c>
      <c r="I33" s="30" t="s">
        <v>214</v>
      </c>
      <c r="J33" s="45">
        <f>J26*(PI()*J24)*J41*J9</f>
        <v>60.318578948924028</v>
      </c>
      <c r="K33" s="31" t="s">
        <v>25</v>
      </c>
      <c r="L33" s="66"/>
    </row>
    <row r="34" spans="1:12" ht="14.25" x14ac:dyDescent="0.25">
      <c r="A34" s="38" t="s">
        <v>292</v>
      </c>
      <c r="I34" s="30" t="s">
        <v>231</v>
      </c>
      <c r="J34" s="45">
        <f>+J20*J9*J40</f>
        <v>213.268</v>
      </c>
      <c r="K34" s="31" t="s">
        <v>25</v>
      </c>
      <c r="L34" s="66"/>
    </row>
    <row r="35" spans="1:12" ht="15" thickBot="1" x14ac:dyDescent="0.3">
      <c r="A35" s="38" t="s">
        <v>293</v>
      </c>
      <c r="I35" s="36" t="s">
        <v>215</v>
      </c>
      <c r="J35" s="49">
        <f>+J20*J15*1</f>
        <v>296.63639999999998</v>
      </c>
      <c r="K35" s="37" t="s">
        <v>25</v>
      </c>
      <c r="L35" s="66"/>
    </row>
    <row r="36" spans="1:12" x14ac:dyDescent="0.2">
      <c r="A36" s="38"/>
      <c r="I36" s="67"/>
      <c r="J36" s="68"/>
      <c r="K36" s="66"/>
      <c r="L36" s="66"/>
    </row>
    <row r="37" spans="1:12" x14ac:dyDescent="0.2">
      <c r="A37" s="38"/>
      <c r="I37" s="67"/>
      <c r="J37" s="68"/>
      <c r="K37" s="66"/>
      <c r="L37" s="66"/>
    </row>
    <row r="38" spans="1:12" ht="13.5" thickBot="1" x14ac:dyDescent="0.25">
      <c r="A38" s="107" t="s">
        <v>294</v>
      </c>
      <c r="J38" s="47"/>
    </row>
    <row r="39" spans="1:12" ht="15.75" x14ac:dyDescent="0.25">
      <c r="A39" s="38" t="s">
        <v>295</v>
      </c>
      <c r="I39" s="50" t="s">
        <v>216</v>
      </c>
      <c r="J39" s="51">
        <v>1</v>
      </c>
      <c r="K39" s="29" t="s">
        <v>217</v>
      </c>
      <c r="L39" s="66"/>
    </row>
    <row r="40" spans="1:12" ht="15.75" x14ac:dyDescent="0.25">
      <c r="A40" s="38" t="s">
        <v>296</v>
      </c>
      <c r="I40" s="52" t="s">
        <v>218</v>
      </c>
      <c r="J40" s="45">
        <v>2.2000000000000002</v>
      </c>
      <c r="K40" s="31" t="s">
        <v>217</v>
      </c>
      <c r="L40" s="66"/>
    </row>
    <row r="41" spans="1:12" ht="15.75" x14ac:dyDescent="0.25">
      <c r="A41" s="38" t="s">
        <v>297</v>
      </c>
      <c r="I41" s="53" t="s">
        <v>219</v>
      </c>
      <c r="J41" s="45">
        <v>4</v>
      </c>
      <c r="K41" s="31" t="s">
        <v>220</v>
      </c>
      <c r="L41" s="66"/>
    </row>
    <row r="42" spans="1:12" ht="15.75" x14ac:dyDescent="0.25">
      <c r="A42" s="38" t="s">
        <v>298</v>
      </c>
      <c r="I42" s="53" t="s">
        <v>221</v>
      </c>
      <c r="J42" s="45">
        <v>6</v>
      </c>
      <c r="K42" s="31" t="s">
        <v>220</v>
      </c>
      <c r="L42" s="66"/>
    </row>
    <row r="43" spans="1:12" ht="15.75" x14ac:dyDescent="0.25">
      <c r="A43" s="38" t="s">
        <v>299</v>
      </c>
      <c r="I43" s="53" t="s">
        <v>222</v>
      </c>
      <c r="J43" s="45">
        <v>1</v>
      </c>
      <c r="K43" s="31" t="s">
        <v>220</v>
      </c>
      <c r="L43" s="66"/>
    </row>
    <row r="44" spans="1:12" x14ac:dyDescent="0.2">
      <c r="A44" s="38" t="s">
        <v>300</v>
      </c>
      <c r="I44" s="30" t="s">
        <v>12</v>
      </c>
      <c r="J44" s="45">
        <v>1</v>
      </c>
      <c r="K44" s="31"/>
      <c r="L44" s="66"/>
    </row>
    <row r="45" spans="1:12" ht="13.5" thickBot="1" x14ac:dyDescent="0.25">
      <c r="A45" s="38" t="s">
        <v>301</v>
      </c>
      <c r="I45" s="36" t="s">
        <v>13</v>
      </c>
      <c r="J45" s="49">
        <v>0.9</v>
      </c>
      <c r="K45" s="37"/>
      <c r="L45" s="66"/>
    </row>
    <row r="46" spans="1:12" x14ac:dyDescent="0.2">
      <c r="I46" s="67"/>
      <c r="J46" s="68"/>
      <c r="K46" s="66"/>
      <c r="L46" s="66"/>
    </row>
    <row r="47" spans="1:12" x14ac:dyDescent="0.2">
      <c r="A47" s="105" t="s">
        <v>302</v>
      </c>
      <c r="B47" s="22"/>
      <c r="J47" s="47"/>
    </row>
    <row r="48" spans="1:12" x14ac:dyDescent="0.2">
      <c r="B48" s="24" t="s">
        <v>303</v>
      </c>
      <c r="J48" s="47"/>
    </row>
    <row r="49" spans="2:16" x14ac:dyDescent="0.2">
      <c r="J49" s="47"/>
    </row>
    <row r="50" spans="2:16" x14ac:dyDescent="0.2">
      <c r="I50" s="24" t="s">
        <v>27</v>
      </c>
    </row>
    <row r="54" spans="2:16" x14ac:dyDescent="0.2">
      <c r="I54" s="24" t="s">
        <v>28</v>
      </c>
    </row>
    <row r="56" spans="2:16" x14ac:dyDescent="0.2">
      <c r="B56" s="24" t="s">
        <v>304</v>
      </c>
    </row>
    <row r="57" spans="2:16" ht="14.25" x14ac:dyDescent="0.25">
      <c r="D57" s="54" t="s">
        <v>29</v>
      </c>
      <c r="E57" s="24" t="s">
        <v>242</v>
      </c>
      <c r="M57" s="24" t="s">
        <v>41</v>
      </c>
    </row>
    <row r="58" spans="2:16" ht="14.25" x14ac:dyDescent="0.25">
      <c r="E58" s="24" t="s">
        <v>243</v>
      </c>
      <c r="M58" s="24" t="s">
        <v>42</v>
      </c>
    </row>
    <row r="60" spans="2:16" x14ac:dyDescent="0.2">
      <c r="B60" s="24" t="s">
        <v>305</v>
      </c>
      <c r="M60" s="47">
        <f>+J31+J33+J29+J30+J34</f>
        <v>817.6665789489241</v>
      </c>
      <c r="P60" s="47">
        <f>+J35</f>
        <v>296.63639999999998</v>
      </c>
    </row>
    <row r="61" spans="2:16" x14ac:dyDescent="0.2">
      <c r="E61" s="55" t="s">
        <v>14</v>
      </c>
      <c r="H61" s="56">
        <f>(J20*J15*J39)/(J45*((J44*J20*J40)+(J26*J25*J41)+(J21*J42)))</f>
        <v>0.63434278973629843</v>
      </c>
      <c r="I61" s="24" t="s">
        <v>9</v>
      </c>
      <c r="J61" s="24" t="s">
        <v>27</v>
      </c>
      <c r="M61" s="24" t="s">
        <v>43</v>
      </c>
    </row>
    <row r="62" spans="2:16" x14ac:dyDescent="0.2">
      <c r="M62" s="24" t="s">
        <v>44</v>
      </c>
    </row>
    <row r="63" spans="2:16" x14ac:dyDescent="0.2">
      <c r="M63" s="47">
        <f>+J34+J32+J33</f>
        <v>519.58657894892406</v>
      </c>
      <c r="P63" s="47">
        <f>+J35</f>
        <v>296.63639999999998</v>
      </c>
    </row>
    <row r="66" spans="1:16" x14ac:dyDescent="0.2">
      <c r="E66" s="55" t="s">
        <v>14</v>
      </c>
      <c r="H66" s="56">
        <f>((J20*J15*J39/J45)-(J29+J30+J31))/((J44*J20*J40)+(J26*J25*J41))</f>
        <v>-0.78397120510813567</v>
      </c>
      <c r="I66" s="24" t="s">
        <v>9</v>
      </c>
      <c r="J66" s="24" t="s">
        <v>28</v>
      </c>
      <c r="M66" s="57"/>
      <c r="N66" s="57"/>
      <c r="O66" s="58"/>
      <c r="P66" s="58"/>
    </row>
    <row r="67" spans="1:16" x14ac:dyDescent="0.2">
      <c r="M67" s="58"/>
      <c r="N67" s="58"/>
      <c r="O67" s="58"/>
      <c r="P67" s="58"/>
    </row>
    <row r="68" spans="1:16" x14ac:dyDescent="0.2">
      <c r="D68" s="55" t="s">
        <v>30</v>
      </c>
      <c r="H68" s="59">
        <f>IF(J29+J30+J31&gt;J32,H61,H66)</f>
        <v>0.63434278973629843</v>
      </c>
      <c r="I68" s="24" t="s">
        <v>9</v>
      </c>
    </row>
    <row r="69" spans="1:16" x14ac:dyDescent="0.2">
      <c r="D69" s="55" t="s">
        <v>244</v>
      </c>
      <c r="H69" s="59">
        <f>+H68</f>
        <v>0.63434278973629843</v>
      </c>
      <c r="I69" s="24" t="s">
        <v>9</v>
      </c>
    </row>
    <row r="70" spans="1:16" ht="13.5" thickBot="1" x14ac:dyDescent="0.25">
      <c r="A70" s="22" t="s">
        <v>306</v>
      </c>
      <c r="B70" s="22"/>
    </row>
    <row r="71" spans="1:16" ht="13.5" thickBot="1" x14ac:dyDescent="0.25">
      <c r="E71" s="60" t="str">
        <f>IF(J9&gt;H68,"VT &gt; VP","VT &lt; VP")</f>
        <v>VT &gt; VP</v>
      </c>
      <c r="F71" s="61" t="s">
        <v>15</v>
      </c>
      <c r="G71" s="77" t="str">
        <f>IF(J9&gt;H68,"§¹t, OK","Kh«ng ®¹t, Not OK")</f>
        <v>§¹t, OK</v>
      </c>
    </row>
    <row r="73" spans="1:16" x14ac:dyDescent="0.2">
      <c r="D73" s="24" t="s">
        <v>17</v>
      </c>
      <c r="G73" s="111">
        <f>J9</f>
        <v>1</v>
      </c>
    </row>
    <row r="74" spans="1:16" x14ac:dyDescent="0.2">
      <c r="D74" s="24" t="s">
        <v>235</v>
      </c>
      <c r="I74" s="62"/>
    </row>
    <row r="75" spans="1:16" x14ac:dyDescent="0.2">
      <c r="A75" s="110" t="s">
        <v>307</v>
      </c>
      <c r="B75" s="22"/>
    </row>
    <row r="76" spans="1:16" x14ac:dyDescent="0.2">
      <c r="A76" s="38" t="s">
        <v>18</v>
      </c>
    </row>
    <row r="77" spans="1:16" x14ac:dyDescent="0.2">
      <c r="A77" s="38" t="s">
        <v>245</v>
      </c>
    </row>
    <row r="78" spans="1:16" ht="13.5" thickBot="1" x14ac:dyDescent="0.25">
      <c r="A78" s="22" t="s">
        <v>266</v>
      </c>
    </row>
    <row r="79" spans="1:16" x14ac:dyDescent="0.2">
      <c r="A79" s="38" t="s">
        <v>308</v>
      </c>
      <c r="I79" s="28" t="s">
        <v>19</v>
      </c>
      <c r="J79" s="51">
        <v>1</v>
      </c>
      <c r="K79" s="29" t="s">
        <v>9</v>
      </c>
      <c r="L79" s="66"/>
    </row>
    <row r="80" spans="1:16" ht="14.25" x14ac:dyDescent="0.25">
      <c r="A80" s="38" t="s">
        <v>309</v>
      </c>
      <c r="I80" s="30" t="s">
        <v>223</v>
      </c>
      <c r="J80" s="45">
        <f>J9-0.2</f>
        <v>0.8</v>
      </c>
      <c r="K80" s="31" t="s">
        <v>9</v>
      </c>
      <c r="L80" s="66"/>
    </row>
    <row r="81" spans="1:16" x14ac:dyDescent="0.2">
      <c r="A81" s="38" t="s">
        <v>310</v>
      </c>
      <c r="I81" s="30" t="s">
        <v>20</v>
      </c>
      <c r="J81" s="48">
        <v>10.7</v>
      </c>
      <c r="K81" s="31" t="s">
        <v>9</v>
      </c>
      <c r="L81" s="66"/>
    </row>
    <row r="82" spans="1:16" ht="15" x14ac:dyDescent="0.2">
      <c r="A82" s="38" t="s">
        <v>311</v>
      </c>
      <c r="I82" s="30" t="s">
        <v>23</v>
      </c>
      <c r="J82" s="63">
        <f>J79*J80*J80/6</f>
        <v>0.10666666666666669</v>
      </c>
      <c r="K82" s="31" t="s">
        <v>224</v>
      </c>
      <c r="L82" s="66"/>
    </row>
    <row r="83" spans="1:16" ht="15.75" x14ac:dyDescent="0.25">
      <c r="A83" s="38" t="s">
        <v>410</v>
      </c>
      <c r="I83" s="30" t="s">
        <v>225</v>
      </c>
      <c r="J83" s="48">
        <v>180</v>
      </c>
      <c r="K83" s="31" t="s">
        <v>220</v>
      </c>
      <c r="L83" s="66"/>
      <c r="M83" s="24">
        <v>1</v>
      </c>
      <c r="N83" s="24" t="s">
        <v>45</v>
      </c>
      <c r="O83" s="64">
        <f>101971.621297793/1000</f>
        <v>101.97162129779299</v>
      </c>
      <c r="P83" s="65" t="s">
        <v>226</v>
      </c>
    </row>
    <row r="84" spans="1:16" ht="14.25" x14ac:dyDescent="0.25">
      <c r="A84" s="72" t="s">
        <v>312</v>
      </c>
      <c r="I84" s="30" t="s">
        <v>236</v>
      </c>
      <c r="J84" s="45">
        <f>J15*J39</f>
        <v>3.06</v>
      </c>
      <c r="K84" s="31" t="s">
        <v>22</v>
      </c>
      <c r="L84" s="66"/>
    </row>
    <row r="85" spans="1:16" ht="14.25" x14ac:dyDescent="0.25">
      <c r="A85" s="38" t="s">
        <v>313</v>
      </c>
      <c r="I85" s="30" t="s">
        <v>237</v>
      </c>
      <c r="J85" s="42">
        <f>J9*J40</f>
        <v>2.2000000000000002</v>
      </c>
      <c r="K85" s="31" t="s">
        <v>22</v>
      </c>
      <c r="L85" s="66"/>
      <c r="O85" s="24">
        <f>2*O83</f>
        <v>203.94324259558599</v>
      </c>
    </row>
    <row r="86" spans="1:16" ht="13.5" thickBot="1" x14ac:dyDescent="0.25">
      <c r="A86" s="38" t="s">
        <v>314</v>
      </c>
      <c r="I86" s="36" t="s">
        <v>21</v>
      </c>
      <c r="J86" s="43">
        <f>J84-J85</f>
        <v>0.85999999999999988</v>
      </c>
      <c r="K86" s="37" t="s">
        <v>22</v>
      </c>
      <c r="L86" s="66"/>
    </row>
    <row r="87" spans="1:16" x14ac:dyDescent="0.2">
      <c r="A87" s="38"/>
      <c r="I87" s="67"/>
      <c r="J87" s="70"/>
      <c r="K87" s="66"/>
      <c r="L87" s="66"/>
    </row>
    <row r="88" spans="1:16" x14ac:dyDescent="0.2">
      <c r="A88" s="22" t="s">
        <v>315</v>
      </c>
    </row>
    <row r="89" spans="1:16" x14ac:dyDescent="0.2">
      <c r="B89" s="24" t="s">
        <v>303</v>
      </c>
    </row>
    <row r="92" spans="1:16" x14ac:dyDescent="0.2">
      <c r="N92" s="24">
        <f>0.63*(25)^0.5</f>
        <v>3.15</v>
      </c>
      <c r="O92" s="24" t="s">
        <v>190</v>
      </c>
    </row>
    <row r="93" spans="1:16" x14ac:dyDescent="0.2">
      <c r="B93" s="24" t="s">
        <v>316</v>
      </c>
      <c r="C93" s="23"/>
      <c r="F93" s="47"/>
      <c r="G93" s="47"/>
    </row>
    <row r="94" spans="1:16" ht="15" x14ac:dyDescent="0.2">
      <c r="C94" s="23"/>
      <c r="D94" s="55"/>
      <c r="E94" s="83" t="s">
        <v>24</v>
      </c>
      <c r="F94" s="47">
        <f>(J86*J81*J81)/(8*J82)</f>
        <v>115.38445312499994</v>
      </c>
      <c r="G94" s="66" t="s">
        <v>220</v>
      </c>
      <c r="H94" s="66"/>
    </row>
    <row r="95" spans="1:16" x14ac:dyDescent="0.2">
      <c r="O95" s="24">
        <f>101971.621297793/1000</f>
        <v>101.97162129779299</v>
      </c>
    </row>
    <row r="96" spans="1:16" ht="13.5" thickBot="1" x14ac:dyDescent="0.25">
      <c r="A96" s="22" t="s">
        <v>306</v>
      </c>
      <c r="B96" s="22"/>
    </row>
    <row r="97" spans="5:16" ht="13.5" thickBot="1" x14ac:dyDescent="0.25">
      <c r="E97" s="77" t="str">
        <f>IF(F94&lt;J83,"VT &lt; VP","VT &gt; VP")</f>
        <v>VT &lt; VP</v>
      </c>
      <c r="F97" s="61" t="s">
        <v>15</v>
      </c>
      <c r="G97" s="60" t="str">
        <f>IF(F94&lt;J83,"§¹t, OK","Kh«ng ®¹t, Not OK")</f>
        <v>§¹t, OK</v>
      </c>
    </row>
    <row r="98" spans="5:16" x14ac:dyDescent="0.2">
      <c r="O98" s="24">
        <f>+O95*N92</f>
        <v>321.21060708804794</v>
      </c>
      <c r="P98" s="24">
        <f>+O98/10</f>
        <v>32.121060708804791</v>
      </c>
    </row>
    <row r="99" spans="5:16" x14ac:dyDescent="0.2">
      <c r="E99" s="55"/>
      <c r="F99" s="55"/>
      <c r="G99" s="55"/>
    </row>
    <row r="100" spans="5:16" x14ac:dyDescent="0.2">
      <c r="P100" s="24">
        <v>250</v>
      </c>
    </row>
    <row r="102" spans="5:16" x14ac:dyDescent="0.2">
      <c r="P102" s="24">
        <f>+P98/P100</f>
        <v>0.12848424283521917</v>
      </c>
    </row>
    <row r="116" spans="3:4" x14ac:dyDescent="0.2">
      <c r="C116" s="23"/>
      <c r="D116" s="22"/>
    </row>
    <row r="132" spans="3:4" x14ac:dyDescent="0.2">
      <c r="C132" s="23"/>
      <c r="D132" s="22"/>
    </row>
  </sheetData>
  <mergeCells count="2">
    <mergeCell ref="A1:K1"/>
    <mergeCell ref="A2:K2"/>
  </mergeCells>
  <phoneticPr fontId="0" type="noConversion"/>
  <pageMargins left="0.5" right="0.3" top="0.5" bottom="0.5" header="0.31496062992126" footer="0.31496062992126"/>
  <pageSetup paperSize="9" scale="90" orientation="portrait" r:id="rId1"/>
  <headerFooter alignWithMargins="0">
    <oddFooter>Page &amp;P of &amp;N</oddFooter>
  </headerFooter>
  <rowBreaks count="1" manualBreakCount="1">
    <brk id="121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6147" r:id="rId4">
          <objectPr defaultSize="0" autoPict="0" r:id="rId5">
            <anchor moveWithCells="1">
              <from>
                <xdr:col>4</xdr:col>
                <xdr:colOff>447675</xdr:colOff>
                <xdr:row>48</xdr:row>
                <xdr:rowOff>9525</xdr:rowOff>
              </from>
              <to>
                <xdr:col>6</xdr:col>
                <xdr:colOff>238125</xdr:colOff>
                <xdr:row>50</xdr:row>
                <xdr:rowOff>104775</xdr:rowOff>
              </to>
            </anchor>
          </objectPr>
        </oleObject>
      </mc:Choice>
      <mc:Fallback>
        <oleObject progId="Equation.3" shapeId="6147" r:id="rId4"/>
      </mc:Fallback>
    </mc:AlternateContent>
    <mc:AlternateContent xmlns:mc="http://schemas.openxmlformats.org/markup-compatibility/2006">
      <mc:Choice Requires="x14">
        <oleObject progId="Equation.3" shapeId="6150" r:id="rId6">
          <objectPr defaultSize="0" autoPict="0" r:id="rId7">
            <anchor moveWithCells="1">
              <from>
                <xdr:col>5</xdr:col>
                <xdr:colOff>19050</xdr:colOff>
                <xdr:row>59</xdr:row>
                <xdr:rowOff>38100</xdr:rowOff>
              </from>
              <to>
                <xdr:col>6</xdr:col>
                <xdr:colOff>828675</xdr:colOff>
                <xdr:row>62</xdr:row>
                <xdr:rowOff>19050</xdr:rowOff>
              </to>
            </anchor>
          </objectPr>
        </oleObject>
      </mc:Choice>
      <mc:Fallback>
        <oleObject progId="Equation.3" shapeId="6150" r:id="rId6"/>
      </mc:Fallback>
    </mc:AlternateContent>
    <mc:AlternateContent xmlns:mc="http://schemas.openxmlformats.org/markup-compatibility/2006">
      <mc:Choice Requires="x14">
        <oleObject progId="Equation.3" shapeId="6151" r:id="rId8">
          <objectPr defaultSize="0" autoPict="0" r:id="rId9">
            <anchor moveWithCells="1">
              <from>
                <xdr:col>4</xdr:col>
                <xdr:colOff>438150</xdr:colOff>
                <xdr:row>88</xdr:row>
                <xdr:rowOff>123825</xdr:rowOff>
              </from>
              <to>
                <xdr:col>5</xdr:col>
                <xdr:colOff>409575</xdr:colOff>
                <xdr:row>91</xdr:row>
                <xdr:rowOff>47625</xdr:rowOff>
              </to>
            </anchor>
          </objectPr>
        </oleObject>
      </mc:Choice>
      <mc:Fallback>
        <oleObject progId="Equation.3" shapeId="6151" r:id="rId8"/>
      </mc:Fallback>
    </mc:AlternateContent>
    <mc:AlternateContent xmlns:mc="http://schemas.openxmlformats.org/markup-compatibility/2006">
      <mc:Choice Requires="x14">
        <oleObject progId="Equation.3" shapeId="6152" r:id="rId10">
          <objectPr defaultSize="0" autoPict="0" r:id="rId11">
            <anchor moveWithCells="1">
              <from>
                <xdr:col>5</xdr:col>
                <xdr:colOff>95250</xdr:colOff>
                <xdr:row>92</xdr:row>
                <xdr:rowOff>19050</xdr:rowOff>
              </from>
              <to>
                <xdr:col>5</xdr:col>
                <xdr:colOff>638175</xdr:colOff>
                <xdr:row>94</xdr:row>
                <xdr:rowOff>152400</xdr:rowOff>
              </to>
            </anchor>
          </objectPr>
        </oleObject>
      </mc:Choice>
      <mc:Fallback>
        <oleObject progId="Equation.3" shapeId="6152" r:id="rId10"/>
      </mc:Fallback>
    </mc:AlternateContent>
    <mc:AlternateContent xmlns:mc="http://schemas.openxmlformats.org/markup-compatibility/2006">
      <mc:Choice Requires="x14">
        <oleObject progId="Equation.3" shapeId="6154" r:id="rId12">
          <objectPr defaultSize="0" autoPict="0" r:id="rId13">
            <anchor moveWithCells="1">
              <from>
                <xdr:col>4</xdr:col>
                <xdr:colOff>342900</xdr:colOff>
                <xdr:row>52</xdr:row>
                <xdr:rowOff>19050</xdr:rowOff>
              </from>
              <to>
                <xdr:col>6</xdr:col>
                <xdr:colOff>847725</xdr:colOff>
                <xdr:row>55</xdr:row>
                <xdr:rowOff>0</xdr:rowOff>
              </to>
            </anchor>
          </objectPr>
        </oleObject>
      </mc:Choice>
      <mc:Fallback>
        <oleObject progId="Equation.3" shapeId="6154" r:id="rId12"/>
      </mc:Fallback>
    </mc:AlternateContent>
    <mc:AlternateContent xmlns:mc="http://schemas.openxmlformats.org/markup-compatibility/2006">
      <mc:Choice Requires="x14">
        <oleObject progId="Equation.3" shapeId="6155" r:id="rId14">
          <objectPr defaultSize="0" autoPict="0" r:id="rId15">
            <anchor moveWithCells="1">
              <from>
                <xdr:col>4</xdr:col>
                <xdr:colOff>942975</xdr:colOff>
                <xdr:row>64</xdr:row>
                <xdr:rowOff>19050</xdr:rowOff>
              </from>
              <to>
                <xdr:col>6</xdr:col>
                <xdr:colOff>685800</xdr:colOff>
                <xdr:row>67</xdr:row>
                <xdr:rowOff>0</xdr:rowOff>
              </to>
            </anchor>
          </objectPr>
        </oleObject>
      </mc:Choice>
      <mc:Fallback>
        <oleObject progId="Equation.3" shapeId="6155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V552"/>
  <sheetViews>
    <sheetView tabSelected="1" view="pageBreakPreview" zoomScale="85" zoomScaleNormal="85" zoomScaleSheetLayoutView="85" workbookViewId="0">
      <selection activeCell="F13" sqref="F13"/>
    </sheetView>
  </sheetViews>
  <sheetFormatPr defaultRowHeight="14.25" x14ac:dyDescent="0.2"/>
  <cols>
    <col min="1" max="1" width="8.7109375" style="112" customWidth="1"/>
    <col min="2" max="2" width="11.85546875" style="112" customWidth="1"/>
    <col min="3" max="3" width="12.28515625" style="112" customWidth="1"/>
    <col min="4" max="4" width="12" style="112" customWidth="1"/>
    <col min="5" max="5" width="11" style="112" customWidth="1"/>
    <col min="6" max="6" width="11.28515625" style="112" customWidth="1"/>
    <col min="7" max="7" width="11.5703125" style="112" customWidth="1"/>
    <col min="8" max="8" width="9.5703125" style="112" customWidth="1"/>
    <col min="9" max="9" width="10.42578125" style="112" customWidth="1"/>
    <col min="10" max="10" width="8.42578125" style="112" customWidth="1"/>
    <col min="11" max="11" width="13.7109375" style="112" customWidth="1"/>
    <col min="12" max="12" width="14.85546875" style="112" customWidth="1"/>
    <col min="13" max="13" width="15.7109375" style="112" customWidth="1"/>
    <col min="14" max="14" width="12" style="112" customWidth="1"/>
    <col min="15" max="15" width="11.42578125" style="112" customWidth="1"/>
    <col min="16" max="16" width="9" style="112" customWidth="1"/>
    <col min="17" max="17" width="10.5703125" style="112" customWidth="1"/>
    <col min="18" max="18" width="9" style="112" customWidth="1"/>
    <col min="19" max="19" width="11.140625" style="112" customWidth="1"/>
    <col min="20" max="24" width="9" style="112" customWidth="1"/>
    <col min="25" max="16384" width="9.140625" style="112"/>
  </cols>
  <sheetData>
    <row r="1" spans="1:15" ht="20.100000000000001" customHeight="1" x14ac:dyDescent="0.2">
      <c r="A1" s="447" t="s">
        <v>460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23"/>
    </row>
    <row r="2" spans="1:15" ht="20.100000000000001" customHeight="1" x14ac:dyDescent="0.2">
      <c r="A2" s="447" t="s">
        <v>461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23"/>
    </row>
    <row r="3" spans="1:15" ht="18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5" x14ac:dyDescent="0.2">
      <c r="A4" s="282" t="s">
        <v>46</v>
      </c>
      <c r="N4" s="114"/>
    </row>
    <row r="5" spans="1:15" x14ac:dyDescent="0.2">
      <c r="A5" s="112" t="s">
        <v>47</v>
      </c>
      <c r="I5" s="114"/>
      <c r="K5" s="115"/>
    </row>
    <row r="6" spans="1:15" x14ac:dyDescent="0.2">
      <c r="A6" s="116" t="s">
        <v>48</v>
      </c>
      <c r="H6" s="117" t="s">
        <v>49</v>
      </c>
      <c r="I6" s="114"/>
      <c r="J6" s="114"/>
      <c r="K6" s="114"/>
      <c r="L6" s="114"/>
      <c r="M6" s="114"/>
      <c r="N6" s="114"/>
    </row>
    <row r="7" spans="1:15" ht="15" thickBot="1" x14ac:dyDescent="0.25">
      <c r="A7" s="114" t="s">
        <v>50</v>
      </c>
      <c r="B7" s="114"/>
      <c r="C7" s="114"/>
      <c r="D7" s="114"/>
      <c r="E7" s="114"/>
      <c r="H7" s="114" t="s">
        <v>51</v>
      </c>
      <c r="I7" s="114"/>
      <c r="J7" s="114"/>
      <c r="K7" s="114"/>
      <c r="L7" s="114"/>
      <c r="M7" s="114"/>
      <c r="N7" s="114"/>
    </row>
    <row r="8" spans="1:15" x14ac:dyDescent="0.2">
      <c r="A8" s="116" t="s">
        <v>52</v>
      </c>
      <c r="H8" s="365" t="s">
        <v>152</v>
      </c>
      <c r="I8" s="366"/>
      <c r="J8" s="367"/>
      <c r="K8" s="367"/>
      <c r="L8" s="368"/>
      <c r="M8" s="366" t="s">
        <v>153</v>
      </c>
      <c r="N8" s="369"/>
    </row>
    <row r="9" spans="1:15" x14ac:dyDescent="0.2">
      <c r="A9" s="118" t="s">
        <v>54</v>
      </c>
      <c r="H9" s="370" t="s">
        <v>154</v>
      </c>
      <c r="I9" s="119"/>
      <c r="J9" s="119"/>
      <c r="K9" s="119"/>
      <c r="L9" s="120"/>
      <c r="M9" s="121"/>
      <c r="N9" s="371"/>
    </row>
    <row r="10" spans="1:15" ht="15" x14ac:dyDescent="0.2">
      <c r="A10" s="112" t="s">
        <v>55</v>
      </c>
      <c r="D10" s="115"/>
      <c r="H10" s="370" t="s">
        <v>452</v>
      </c>
      <c r="I10" s="119"/>
      <c r="J10" s="119"/>
      <c r="K10" s="119"/>
      <c r="L10" s="120"/>
      <c r="M10" s="122">
        <v>1.2</v>
      </c>
      <c r="N10" s="371"/>
    </row>
    <row r="11" spans="1:15" ht="15" x14ac:dyDescent="0.2">
      <c r="A11" s="112" t="s">
        <v>56</v>
      </c>
      <c r="B11" s="118" t="s">
        <v>57</v>
      </c>
      <c r="C11" s="114"/>
      <c r="D11" s="114"/>
      <c r="E11" s="114"/>
      <c r="H11" s="370" t="s">
        <v>155</v>
      </c>
      <c r="I11" s="119"/>
      <c r="J11" s="119"/>
      <c r="K11" s="119"/>
      <c r="L11" s="120"/>
      <c r="M11" s="122">
        <v>0.8</v>
      </c>
      <c r="N11" s="371"/>
    </row>
    <row r="12" spans="1:15" ht="15" x14ac:dyDescent="0.2">
      <c r="A12" s="112" t="s">
        <v>58</v>
      </c>
      <c r="B12" s="118"/>
      <c r="C12" s="114"/>
      <c r="D12" s="114"/>
      <c r="E12" s="114"/>
      <c r="H12" s="370" t="s">
        <v>156</v>
      </c>
      <c r="I12" s="119"/>
      <c r="J12" s="119"/>
      <c r="K12" s="119"/>
      <c r="L12" s="120"/>
      <c r="M12" s="122">
        <v>1.2</v>
      </c>
      <c r="N12" s="371"/>
    </row>
    <row r="13" spans="1:15" ht="15.75" thickBot="1" x14ac:dyDescent="0.25">
      <c r="C13" s="123" t="s">
        <v>59</v>
      </c>
      <c r="D13" s="115">
        <v>1900</v>
      </c>
      <c r="E13" s="112" t="s">
        <v>60</v>
      </c>
      <c r="H13" s="372" t="s">
        <v>184</v>
      </c>
      <c r="I13" s="373"/>
      <c r="J13" s="373"/>
      <c r="K13" s="373"/>
      <c r="L13" s="374"/>
      <c r="M13" s="375">
        <v>1</v>
      </c>
      <c r="N13" s="376"/>
    </row>
    <row r="14" spans="1:15" x14ac:dyDescent="0.2">
      <c r="C14" s="123" t="s">
        <v>61</v>
      </c>
      <c r="D14" s="115">
        <v>2000</v>
      </c>
      <c r="E14" s="112" t="s">
        <v>60</v>
      </c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5" ht="15" thickBot="1" x14ac:dyDescent="0.25">
      <c r="A15" s="112" t="s">
        <v>62</v>
      </c>
      <c r="N15" s="114"/>
    </row>
    <row r="16" spans="1:15" ht="18" customHeight="1" thickTop="1" x14ac:dyDescent="0.2">
      <c r="A16" s="457" t="s">
        <v>63</v>
      </c>
      <c r="B16" s="124" t="s">
        <v>64</v>
      </c>
      <c r="C16" s="124" t="s">
        <v>65</v>
      </c>
      <c r="D16" s="459" t="s">
        <v>68</v>
      </c>
      <c r="E16" s="125" t="s">
        <v>66</v>
      </c>
      <c r="F16" s="125"/>
      <c r="G16" s="125"/>
      <c r="H16" s="125"/>
      <c r="I16" s="126"/>
      <c r="J16" s="126"/>
      <c r="K16" s="126"/>
      <c r="L16" s="125" t="s">
        <v>67</v>
      </c>
      <c r="M16" s="125"/>
      <c r="N16" s="127"/>
    </row>
    <row r="17" spans="1:19" ht="18.75" x14ac:dyDescent="0.2">
      <c r="A17" s="458"/>
      <c r="B17" s="128" t="s">
        <v>9</v>
      </c>
      <c r="C17" s="128" t="s">
        <v>9</v>
      </c>
      <c r="D17" s="460"/>
      <c r="E17" s="129" t="s">
        <v>69</v>
      </c>
      <c r="F17" s="129" t="s">
        <v>70</v>
      </c>
      <c r="G17" s="130" t="s">
        <v>71</v>
      </c>
      <c r="H17" s="129" t="s">
        <v>72</v>
      </c>
      <c r="I17" s="129" t="s">
        <v>73</v>
      </c>
      <c r="J17" s="130" t="s">
        <v>74</v>
      </c>
      <c r="K17" s="128" t="s">
        <v>75</v>
      </c>
      <c r="L17" s="131"/>
      <c r="M17" s="132"/>
      <c r="N17" s="133"/>
    </row>
    <row r="18" spans="1:19" ht="14.25" customHeight="1" x14ac:dyDescent="0.2">
      <c r="A18" s="134"/>
      <c r="B18" s="135">
        <v>4.6900000000000004</v>
      </c>
      <c r="C18" s="128"/>
      <c r="D18" s="136"/>
      <c r="E18" s="137"/>
      <c r="F18" s="136"/>
      <c r="G18" s="137"/>
      <c r="H18" s="137"/>
      <c r="I18" s="137"/>
      <c r="J18" s="136"/>
      <c r="K18" s="136"/>
      <c r="L18" s="450" t="s">
        <v>251</v>
      </c>
      <c r="M18" s="450"/>
      <c r="N18" s="451"/>
      <c r="O18" s="138"/>
    </row>
    <row r="19" spans="1:19" x14ac:dyDescent="0.2">
      <c r="A19" s="139" t="s">
        <v>76</v>
      </c>
      <c r="B19" s="135"/>
      <c r="C19" s="135">
        <f>B18-B20</f>
        <v>2.6000000000000005</v>
      </c>
      <c r="D19" s="135">
        <v>2.66</v>
      </c>
      <c r="E19" s="135">
        <v>22</v>
      </c>
      <c r="F19" s="135">
        <v>0.6</v>
      </c>
      <c r="G19" s="135">
        <v>22</v>
      </c>
      <c r="H19" s="135">
        <f>+D19*(1+G19/100)/(1+F19)</f>
        <v>2.0282499999999999</v>
      </c>
      <c r="I19" s="135">
        <f>+(D19-1)/(1+F19)</f>
        <v>1.0375000000000001</v>
      </c>
      <c r="J19" s="135">
        <f>(TAN((45-E19/2)*PI()/180))^2</f>
        <v>0.45496173929297029</v>
      </c>
      <c r="K19" s="135">
        <f>(TAN((45+E19/2)*PI()/180))^2</f>
        <v>2.1979870253574347</v>
      </c>
      <c r="L19" s="450"/>
      <c r="M19" s="450"/>
      <c r="N19" s="451"/>
    </row>
    <row r="20" spans="1:19" ht="16.5" customHeight="1" x14ac:dyDescent="0.2">
      <c r="A20" s="139"/>
      <c r="B20" s="135">
        <v>2.09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461" t="s">
        <v>349</v>
      </c>
      <c r="M20" s="462"/>
      <c r="N20" s="463"/>
    </row>
    <row r="21" spans="1:19" x14ac:dyDescent="0.2">
      <c r="A21" s="139" t="s">
        <v>249</v>
      </c>
      <c r="B21" s="135"/>
      <c r="C21" s="135">
        <f>B20-B22</f>
        <v>31.4</v>
      </c>
      <c r="D21" s="135">
        <v>2.71</v>
      </c>
      <c r="E21" s="135">
        <v>20</v>
      </c>
      <c r="F21" s="135">
        <v>0.6</v>
      </c>
      <c r="G21" s="135">
        <v>19</v>
      </c>
      <c r="H21" s="135">
        <f>+D21*(1+G21/100)/(1+F21)</f>
        <v>2.0155624999999997</v>
      </c>
      <c r="I21" s="135">
        <f>+(D21-1)/(1+F21)</f>
        <v>1.0687499999999999</v>
      </c>
      <c r="J21" s="135">
        <f>(TAN((45-E21/2)*PI()/180))^2</f>
        <v>0.49029059656570206</v>
      </c>
      <c r="K21" s="135">
        <f>(TAN((45+E21/2)*PI()/180))^2</f>
        <v>2.0396067291614743</v>
      </c>
      <c r="L21" s="464"/>
      <c r="M21" s="465"/>
      <c r="N21" s="466"/>
    </row>
    <row r="22" spans="1:19" ht="15" thickBot="1" x14ac:dyDescent="0.25">
      <c r="A22" s="141"/>
      <c r="B22" s="142">
        <v>-29.31</v>
      </c>
      <c r="C22" s="143"/>
      <c r="D22" s="142"/>
      <c r="E22" s="142"/>
      <c r="F22" s="142"/>
      <c r="G22" s="142"/>
      <c r="H22" s="142"/>
      <c r="I22" s="142"/>
      <c r="J22" s="142"/>
      <c r="K22" s="142"/>
      <c r="L22" s="467"/>
      <c r="M22" s="468"/>
      <c r="N22" s="469"/>
    </row>
    <row r="23" spans="1:19" ht="15" hidden="1" customHeight="1" thickTop="1" x14ac:dyDescent="0.2">
      <c r="A23" s="144" t="s">
        <v>249</v>
      </c>
      <c r="B23" s="145"/>
      <c r="C23" s="145" t="e">
        <f>#REF!-B24</f>
        <v>#REF!</v>
      </c>
      <c r="D23" s="145">
        <v>2.6989999999999998</v>
      </c>
      <c r="E23" s="145">
        <f>26+0.25</f>
        <v>26.25</v>
      </c>
      <c r="F23" s="145">
        <v>0.76600000000000001</v>
      </c>
      <c r="G23" s="145">
        <v>0.26979999999999998</v>
      </c>
      <c r="H23" s="145">
        <f>+D23*(1+G23)/(1+F23)</f>
        <v>1.9406513023782559</v>
      </c>
      <c r="I23" s="145">
        <f>+(D23-1)/(1+F23)</f>
        <v>0.96206115515288781</v>
      </c>
      <c r="J23" s="145">
        <f>+(TAN((45-E23/2)*PI()/180))^2</f>
        <v>0.38668493593769648</v>
      </c>
      <c r="K23" s="145">
        <f>+(TAN((45+E23/2)*PI()/180))^2</f>
        <v>2.5860847089246883</v>
      </c>
      <c r="L23" s="470" t="s">
        <v>250</v>
      </c>
      <c r="M23" s="471"/>
      <c r="N23" s="472"/>
    </row>
    <row r="24" spans="1:19" hidden="1" x14ac:dyDescent="0.2">
      <c r="A24" s="146"/>
      <c r="B24" s="145">
        <v>-8.66</v>
      </c>
      <c r="C24" s="147"/>
      <c r="D24" s="148"/>
      <c r="E24" s="149"/>
      <c r="F24" s="150"/>
      <c r="G24" s="149"/>
      <c r="H24" s="149"/>
      <c r="I24" s="149"/>
      <c r="J24" s="145"/>
      <c r="K24" s="145"/>
      <c r="L24" s="470"/>
      <c r="M24" s="471"/>
      <c r="N24" s="472"/>
    </row>
    <row r="25" spans="1:19" hidden="1" x14ac:dyDescent="0.2">
      <c r="A25" s="146" t="s">
        <v>252</v>
      </c>
      <c r="B25" s="145"/>
      <c r="C25" s="145">
        <f>B24-B26</f>
        <v>5.4</v>
      </c>
      <c r="D25" s="145">
        <v>2.7069999999999999</v>
      </c>
      <c r="E25" s="145">
        <f>27+0.25</f>
        <v>27.25</v>
      </c>
      <c r="F25" s="145">
        <v>0.71699999999999997</v>
      </c>
      <c r="G25" s="145">
        <v>0.24340000000000001</v>
      </c>
      <c r="H25" s="145">
        <f>+D25*(1+G25)/(1+F25)</f>
        <v>1.9603283634245776</v>
      </c>
      <c r="I25" s="145">
        <f>+(D25-1)/(1+F25)</f>
        <v>0.99417588817705282</v>
      </c>
      <c r="J25" s="145">
        <f>+(TAN((45-E25/2)*PI()/180))^2</f>
        <v>0.37186074821810067</v>
      </c>
      <c r="K25" s="145">
        <f>+(TAN((45+E25/2)*PI()/180))^2</f>
        <v>2.6891786906573092</v>
      </c>
      <c r="L25" s="474" t="s">
        <v>253</v>
      </c>
      <c r="M25" s="474"/>
      <c r="N25" s="475"/>
    </row>
    <row r="26" spans="1:19" ht="15" hidden="1" thickBot="1" x14ac:dyDescent="0.25">
      <c r="A26" s="151"/>
      <c r="B26" s="152">
        <v>-14.06</v>
      </c>
      <c r="C26" s="153"/>
      <c r="D26" s="154"/>
      <c r="E26" s="155"/>
      <c r="F26" s="156"/>
      <c r="G26" s="155"/>
      <c r="H26" s="155"/>
      <c r="I26" s="155"/>
      <c r="J26" s="152"/>
      <c r="K26" s="152"/>
      <c r="L26" s="476"/>
      <c r="M26" s="476"/>
      <c r="N26" s="477"/>
    </row>
    <row r="27" spans="1:19" ht="15" thickTop="1" x14ac:dyDescent="0.2">
      <c r="D27" s="157"/>
      <c r="E27" s="157"/>
      <c r="F27" s="157"/>
      <c r="G27" s="157"/>
      <c r="H27" s="157"/>
      <c r="I27" s="157"/>
      <c r="J27" s="157"/>
      <c r="N27" s="114"/>
    </row>
    <row r="28" spans="1:19" ht="16.5" x14ac:dyDescent="0.2">
      <c r="A28" s="112" t="s">
        <v>77</v>
      </c>
      <c r="D28" s="158" t="s">
        <v>163</v>
      </c>
      <c r="E28" s="112" t="s">
        <v>157</v>
      </c>
      <c r="K28" s="114"/>
      <c r="N28" s="114"/>
    </row>
    <row r="29" spans="1:19" ht="18.75" x14ac:dyDescent="0.2">
      <c r="A29" s="112" t="s">
        <v>164</v>
      </c>
      <c r="D29" s="158" t="s">
        <v>78</v>
      </c>
      <c r="E29" s="112" t="s">
        <v>165</v>
      </c>
      <c r="J29" s="114"/>
      <c r="K29" s="114"/>
      <c r="L29" s="114"/>
      <c r="M29" s="114"/>
      <c r="N29" s="114"/>
    </row>
    <row r="30" spans="1:19" ht="18.75" x14ac:dyDescent="0.2">
      <c r="A30" s="112" t="s">
        <v>166</v>
      </c>
      <c r="D30" s="159" t="s">
        <v>79</v>
      </c>
      <c r="E30" s="112" t="s">
        <v>453</v>
      </c>
      <c r="J30" s="114"/>
      <c r="K30" s="114"/>
      <c r="L30" s="114"/>
      <c r="M30" s="114"/>
      <c r="N30" s="114"/>
      <c r="P30" s="112">
        <v>36.6</v>
      </c>
      <c r="Q30" s="112">
        <v>-31.75</v>
      </c>
      <c r="S30" s="112">
        <f>+P30-P32</f>
        <v>32.700000000000003</v>
      </c>
    </row>
    <row r="31" spans="1:19" ht="17.25" x14ac:dyDescent="0.2">
      <c r="A31" s="114"/>
      <c r="D31" s="159" t="s">
        <v>167</v>
      </c>
      <c r="E31" s="112" t="s">
        <v>454</v>
      </c>
      <c r="J31" s="114"/>
      <c r="K31" s="114"/>
      <c r="L31" s="114"/>
      <c r="M31" s="114"/>
      <c r="N31" s="114"/>
      <c r="P31" s="112">
        <v>16.600000000000001</v>
      </c>
      <c r="Q31" s="112">
        <f>+Q30+S31</f>
        <v>-11.75</v>
      </c>
      <c r="S31" s="112">
        <f>+P30-P31</f>
        <v>20</v>
      </c>
    </row>
    <row r="32" spans="1:19" ht="15" x14ac:dyDescent="0.2">
      <c r="A32" s="114"/>
      <c r="D32" s="158" t="s">
        <v>80</v>
      </c>
      <c r="E32" s="112" t="s">
        <v>81</v>
      </c>
      <c r="K32" s="114"/>
      <c r="L32" s="114"/>
      <c r="M32" s="114"/>
      <c r="N32" s="114"/>
      <c r="P32" s="112">
        <v>3.9</v>
      </c>
      <c r="Q32" s="112">
        <v>0.95</v>
      </c>
      <c r="S32" s="112">
        <f>+Q30-Q32</f>
        <v>-32.700000000000003</v>
      </c>
    </row>
    <row r="33" spans="1:20" ht="15" x14ac:dyDescent="0.2">
      <c r="A33" s="114"/>
      <c r="D33" s="158" t="s">
        <v>82</v>
      </c>
      <c r="E33" s="112" t="s">
        <v>254</v>
      </c>
      <c r="K33" s="114"/>
      <c r="L33" s="114"/>
      <c r="M33" s="114"/>
      <c r="N33" s="114"/>
    </row>
    <row r="34" spans="1:20" ht="15" x14ac:dyDescent="0.2">
      <c r="A34" s="114" t="s">
        <v>255</v>
      </c>
      <c r="D34" s="158"/>
      <c r="K34" s="114"/>
      <c r="L34" s="114"/>
      <c r="M34" s="114"/>
      <c r="N34" s="114"/>
      <c r="S34" s="112">
        <f>+Q32-Q31</f>
        <v>12.7</v>
      </c>
    </row>
    <row r="35" spans="1:20" ht="15" x14ac:dyDescent="0.2">
      <c r="A35" s="114"/>
      <c r="B35" s="112" t="s">
        <v>256</v>
      </c>
      <c r="D35" s="158"/>
      <c r="K35" s="114"/>
      <c r="L35" s="114"/>
      <c r="M35" s="114"/>
      <c r="N35" s="114"/>
      <c r="S35" s="112">
        <f>+P31-P32</f>
        <v>12.700000000000001</v>
      </c>
    </row>
    <row r="36" spans="1:20" ht="15" x14ac:dyDescent="0.2">
      <c r="A36" s="114"/>
      <c r="B36" s="112" t="s">
        <v>455</v>
      </c>
      <c r="D36" s="158"/>
      <c r="K36" s="114"/>
      <c r="L36" s="114"/>
      <c r="M36" s="114"/>
      <c r="N36" s="114"/>
    </row>
    <row r="37" spans="1:20" ht="15" x14ac:dyDescent="0.2">
      <c r="A37" s="114"/>
      <c r="B37" s="112" t="s">
        <v>335</v>
      </c>
      <c r="D37" s="158"/>
      <c r="K37" s="114"/>
      <c r="L37" s="114"/>
      <c r="M37" s="114"/>
      <c r="N37" s="114"/>
    </row>
    <row r="38" spans="1:20" ht="15" hidden="1" x14ac:dyDescent="0.2">
      <c r="A38" s="114"/>
      <c r="B38" s="112" t="s">
        <v>336</v>
      </c>
      <c r="D38" s="158"/>
      <c r="K38" s="114"/>
      <c r="L38" s="114"/>
      <c r="M38" s="114"/>
      <c r="N38" s="114"/>
    </row>
    <row r="39" spans="1:20" ht="15" hidden="1" x14ac:dyDescent="0.2">
      <c r="A39" s="114"/>
      <c r="B39" s="112" t="s">
        <v>337</v>
      </c>
      <c r="D39" s="158"/>
      <c r="K39" s="114"/>
      <c r="L39" s="114"/>
      <c r="M39" s="114"/>
      <c r="N39" s="114"/>
    </row>
    <row r="40" spans="1:20" ht="15" x14ac:dyDescent="0.2">
      <c r="A40" s="114"/>
      <c r="B40" s="112" t="s">
        <v>356</v>
      </c>
      <c r="D40" s="158"/>
      <c r="K40" s="114"/>
      <c r="L40" s="114"/>
      <c r="M40" s="114"/>
      <c r="N40" s="114"/>
    </row>
    <row r="41" spans="1:20" ht="15" x14ac:dyDescent="0.2">
      <c r="A41" s="114"/>
      <c r="B41" s="112" t="s">
        <v>357</v>
      </c>
      <c r="D41" s="158"/>
      <c r="K41" s="114"/>
      <c r="L41" s="114"/>
      <c r="M41" s="114"/>
      <c r="N41" s="114"/>
    </row>
    <row r="42" spans="1:20" ht="15" hidden="1" x14ac:dyDescent="0.2">
      <c r="A42" s="114"/>
      <c r="B42" s="112" t="s">
        <v>338</v>
      </c>
      <c r="D42" s="158"/>
      <c r="K42" s="114"/>
      <c r="L42" s="114"/>
      <c r="M42" s="114"/>
      <c r="N42" s="114"/>
    </row>
    <row r="43" spans="1:20" ht="15" hidden="1" x14ac:dyDescent="0.2">
      <c r="A43" s="114"/>
      <c r="B43" s="112" t="s">
        <v>339</v>
      </c>
      <c r="D43" s="158"/>
      <c r="K43" s="114"/>
      <c r="L43" s="114"/>
      <c r="M43" s="114"/>
      <c r="N43" s="114"/>
    </row>
    <row r="44" spans="1:20" ht="15" x14ac:dyDescent="0.2">
      <c r="A44" s="114"/>
      <c r="B44" s="112" t="s">
        <v>358</v>
      </c>
      <c r="D44" s="158"/>
      <c r="K44" s="114"/>
      <c r="L44" s="114"/>
      <c r="M44" s="114"/>
      <c r="N44" s="114"/>
    </row>
    <row r="45" spans="1:20" ht="15" x14ac:dyDescent="0.2">
      <c r="A45" s="177" t="s">
        <v>257</v>
      </c>
      <c r="B45" s="113"/>
      <c r="C45" s="113"/>
      <c r="D45" s="279"/>
      <c r="E45" s="113"/>
      <c r="F45" s="113"/>
      <c r="G45" s="113"/>
      <c r="H45" s="113"/>
      <c r="K45" s="114"/>
      <c r="L45" s="114"/>
      <c r="M45" s="114"/>
      <c r="N45" s="114"/>
      <c r="Q45" s="114"/>
      <c r="T45" s="158"/>
    </row>
    <row r="46" spans="1:20" ht="15" x14ac:dyDescent="0.2">
      <c r="A46" s="177"/>
      <c r="B46" s="280" t="s">
        <v>360</v>
      </c>
      <c r="C46" s="113"/>
      <c r="D46" s="279"/>
      <c r="E46" s="113"/>
      <c r="F46" s="113"/>
      <c r="G46" s="113"/>
      <c r="H46" s="113"/>
      <c r="K46" s="114"/>
      <c r="L46" s="114"/>
      <c r="M46" s="114"/>
      <c r="N46" s="114"/>
      <c r="Q46" s="114"/>
      <c r="R46" s="117"/>
      <c r="T46" s="158"/>
    </row>
    <row r="47" spans="1:20" ht="15" x14ac:dyDescent="0.2">
      <c r="A47" s="177"/>
      <c r="B47" s="113" t="s">
        <v>359</v>
      </c>
      <c r="C47" s="113"/>
      <c r="D47" s="279"/>
      <c r="E47" s="113"/>
      <c r="F47" s="113"/>
      <c r="G47" s="113"/>
      <c r="H47" s="113"/>
      <c r="K47" s="114"/>
      <c r="L47" s="114"/>
      <c r="M47" s="114"/>
      <c r="N47" s="114"/>
      <c r="Q47" s="114"/>
      <c r="T47" s="158"/>
    </row>
    <row r="48" spans="1:20" ht="15" x14ac:dyDescent="0.2">
      <c r="A48" s="177"/>
      <c r="B48" s="280" t="s">
        <v>361</v>
      </c>
      <c r="C48" s="113"/>
      <c r="D48" s="279"/>
      <c r="E48" s="113"/>
      <c r="F48" s="113"/>
      <c r="G48" s="113"/>
      <c r="H48" s="113"/>
      <c r="K48" s="114"/>
      <c r="L48" s="114"/>
      <c r="M48" s="114"/>
      <c r="N48" s="114"/>
    </row>
    <row r="49" spans="1:17" ht="15" x14ac:dyDescent="0.2">
      <c r="A49" s="177"/>
      <c r="B49" s="113" t="s">
        <v>258</v>
      </c>
      <c r="C49" s="113"/>
      <c r="D49" s="279"/>
      <c r="E49" s="113"/>
      <c r="F49" s="113"/>
      <c r="G49" s="113"/>
      <c r="H49" s="113"/>
      <c r="K49" s="114"/>
      <c r="L49" s="114"/>
      <c r="M49" s="114"/>
      <c r="N49" s="114"/>
    </row>
    <row r="50" spans="1:17" ht="15.75" thickBot="1" x14ac:dyDescent="0.25">
      <c r="A50" s="114"/>
      <c r="D50" s="158"/>
      <c r="K50" s="114"/>
      <c r="L50" s="114"/>
      <c r="M50" s="114"/>
      <c r="N50" s="114"/>
    </row>
    <row r="51" spans="1:17" x14ac:dyDescent="0.2">
      <c r="A51" s="424" t="s">
        <v>83</v>
      </c>
      <c r="B51" s="425"/>
      <c r="C51" s="425"/>
      <c r="D51" s="426"/>
      <c r="E51" s="426"/>
      <c r="F51" s="427"/>
      <c r="G51" s="428" t="s">
        <v>84</v>
      </c>
      <c r="H51" s="429" t="s">
        <v>85</v>
      </c>
      <c r="I51" s="430" t="s">
        <v>86</v>
      </c>
      <c r="N51" s="114"/>
    </row>
    <row r="52" spans="1:17" x14ac:dyDescent="0.2">
      <c r="A52" s="431" t="s">
        <v>87</v>
      </c>
      <c r="B52" s="160"/>
      <c r="C52" s="160"/>
      <c r="D52" s="161"/>
      <c r="E52" s="162"/>
      <c r="F52" s="163"/>
      <c r="G52" s="164" t="s">
        <v>13</v>
      </c>
      <c r="H52" s="130" t="s">
        <v>88</v>
      </c>
      <c r="I52" s="432">
        <f>+I62+0.5</f>
        <v>5.26</v>
      </c>
      <c r="N52" s="114"/>
    </row>
    <row r="53" spans="1:17" x14ac:dyDescent="0.2">
      <c r="A53" s="431" t="s">
        <v>151</v>
      </c>
      <c r="B53" s="160"/>
      <c r="C53" s="160"/>
      <c r="D53" s="161"/>
      <c r="E53" s="165"/>
      <c r="F53" s="163"/>
      <c r="G53" s="130" t="s">
        <v>13</v>
      </c>
      <c r="H53" s="130" t="s">
        <v>89</v>
      </c>
      <c r="I53" s="433">
        <f>I52-0.5</f>
        <v>4.76</v>
      </c>
      <c r="N53" s="114"/>
    </row>
    <row r="54" spans="1:17" ht="17.25" x14ac:dyDescent="0.2">
      <c r="A54" s="431" t="s">
        <v>158</v>
      </c>
      <c r="B54" s="160"/>
      <c r="C54" s="160"/>
      <c r="D54" s="161"/>
      <c r="E54" s="165"/>
      <c r="F54" s="163"/>
      <c r="G54" s="130" t="s">
        <v>13</v>
      </c>
      <c r="H54" s="130" t="s">
        <v>168</v>
      </c>
      <c r="I54" s="432">
        <f>'1.BD-(P2-No34)'!G73</f>
        <v>1</v>
      </c>
      <c r="N54" s="114"/>
    </row>
    <row r="55" spans="1:17" x14ac:dyDescent="0.2">
      <c r="A55" s="431" t="s">
        <v>90</v>
      </c>
      <c r="B55" s="160"/>
      <c r="C55" s="160"/>
      <c r="D55" s="161"/>
      <c r="E55" s="162"/>
      <c r="F55" s="163"/>
      <c r="G55" s="164" t="s">
        <v>13</v>
      </c>
      <c r="H55" s="130" t="s">
        <v>91</v>
      </c>
      <c r="I55" s="434">
        <f>I61-0.1-I54</f>
        <v>1.6999999999999997</v>
      </c>
      <c r="N55" s="114"/>
    </row>
    <row r="56" spans="1:17" x14ac:dyDescent="0.2">
      <c r="A56" s="431" t="s">
        <v>92</v>
      </c>
      <c r="B56" s="160"/>
      <c r="C56" s="160"/>
      <c r="D56" s="161"/>
      <c r="E56" s="162"/>
      <c r="F56" s="163"/>
      <c r="G56" s="164" t="s">
        <v>13</v>
      </c>
      <c r="H56" s="130" t="s">
        <v>93</v>
      </c>
      <c r="I56" s="435">
        <f>I52-I63</f>
        <v>-3.74</v>
      </c>
      <c r="M56" s="166"/>
      <c r="N56" s="114"/>
    </row>
    <row r="57" spans="1:17" x14ac:dyDescent="0.2">
      <c r="A57" s="431" t="s">
        <v>94</v>
      </c>
      <c r="B57" s="160"/>
      <c r="C57" s="160"/>
      <c r="D57" s="161"/>
      <c r="E57" s="162"/>
      <c r="F57" s="163"/>
      <c r="G57" s="164" t="s">
        <v>13</v>
      </c>
      <c r="H57" s="130" t="s">
        <v>95</v>
      </c>
      <c r="I57" s="432">
        <v>4</v>
      </c>
      <c r="L57" s="166"/>
      <c r="N57" s="114"/>
    </row>
    <row r="58" spans="1:17" x14ac:dyDescent="0.2">
      <c r="A58" s="431" t="s">
        <v>260</v>
      </c>
      <c r="B58" s="160"/>
      <c r="C58" s="160"/>
      <c r="D58" s="161"/>
      <c r="E58" s="162"/>
      <c r="F58" s="163"/>
      <c r="G58" s="164" t="s">
        <v>13</v>
      </c>
      <c r="H58" s="130" t="s">
        <v>261</v>
      </c>
      <c r="I58" s="432">
        <v>2.9</v>
      </c>
      <c r="L58" s="166"/>
      <c r="N58" s="114"/>
      <c r="P58" s="166"/>
      <c r="Q58" s="166"/>
    </row>
    <row r="59" spans="1:17" x14ac:dyDescent="0.2">
      <c r="A59" s="431" t="s">
        <v>347</v>
      </c>
      <c r="B59" s="160"/>
      <c r="C59" s="160"/>
      <c r="D59" s="161"/>
      <c r="E59" s="162"/>
      <c r="F59" s="163"/>
      <c r="G59" s="164" t="s">
        <v>13</v>
      </c>
      <c r="H59" s="130" t="s">
        <v>348</v>
      </c>
      <c r="I59" s="432">
        <f>+B22</f>
        <v>-29.31</v>
      </c>
      <c r="L59" s="166"/>
      <c r="N59" s="114"/>
      <c r="P59" s="166"/>
    </row>
    <row r="60" spans="1:17" x14ac:dyDescent="0.2">
      <c r="A60" s="436" t="s">
        <v>96</v>
      </c>
      <c r="B60" s="167"/>
      <c r="C60" s="167"/>
      <c r="D60" s="161"/>
      <c r="E60" s="162"/>
      <c r="F60" s="163"/>
      <c r="G60" s="130" t="s">
        <v>13</v>
      </c>
      <c r="H60" s="130" t="s">
        <v>97</v>
      </c>
      <c r="I60" s="432">
        <f>+I61+1.8</f>
        <v>4.5999999999999996</v>
      </c>
      <c r="N60" s="114"/>
      <c r="P60" s="168"/>
    </row>
    <row r="61" spans="1:17" x14ac:dyDescent="0.2">
      <c r="A61" s="436" t="s">
        <v>98</v>
      </c>
      <c r="B61" s="167"/>
      <c r="C61" s="167"/>
      <c r="D61" s="161"/>
      <c r="E61" s="162"/>
      <c r="F61" s="163"/>
      <c r="G61" s="130" t="s">
        <v>13</v>
      </c>
      <c r="H61" s="130" t="s">
        <v>99</v>
      </c>
      <c r="I61" s="432">
        <v>2.8</v>
      </c>
      <c r="K61" s="166"/>
      <c r="N61" s="114"/>
      <c r="Q61" s="166"/>
    </row>
    <row r="62" spans="1:17" x14ac:dyDescent="0.2">
      <c r="A62" s="431" t="s">
        <v>100</v>
      </c>
      <c r="B62" s="167"/>
      <c r="C62" s="167"/>
      <c r="D62" s="161"/>
      <c r="E62" s="162"/>
      <c r="F62" s="163"/>
      <c r="G62" s="130" t="s">
        <v>13</v>
      </c>
      <c r="H62" s="169" t="s">
        <v>0</v>
      </c>
      <c r="I62" s="437">
        <v>4.76</v>
      </c>
      <c r="N62" s="114"/>
      <c r="Q62" s="166"/>
    </row>
    <row r="63" spans="1:17" x14ac:dyDescent="0.2">
      <c r="A63" s="431" t="s">
        <v>101</v>
      </c>
      <c r="B63" s="160"/>
      <c r="C63" s="160"/>
      <c r="D63" s="161"/>
      <c r="E63" s="162"/>
      <c r="F63" s="163"/>
      <c r="G63" s="164" t="s">
        <v>13</v>
      </c>
      <c r="H63" s="130" t="s">
        <v>20</v>
      </c>
      <c r="I63" s="432">
        <f>'1.BD-(P2-No34)'!J11</f>
        <v>9</v>
      </c>
      <c r="N63" s="114"/>
      <c r="Q63" s="166"/>
    </row>
    <row r="64" spans="1:17" x14ac:dyDescent="0.2">
      <c r="A64" s="436" t="s">
        <v>102</v>
      </c>
      <c r="B64" s="167"/>
      <c r="C64" s="167"/>
      <c r="D64" s="161"/>
      <c r="E64" s="162"/>
      <c r="F64" s="163"/>
      <c r="G64" s="130" t="s">
        <v>13</v>
      </c>
      <c r="H64" s="130" t="s">
        <v>103</v>
      </c>
      <c r="I64" s="438">
        <f>+I57-I55</f>
        <v>2.3000000000000003</v>
      </c>
      <c r="N64" s="114"/>
    </row>
    <row r="65" spans="1:22" ht="15" thickBot="1" x14ac:dyDescent="0.25">
      <c r="A65" s="439" t="s">
        <v>104</v>
      </c>
      <c r="B65" s="440"/>
      <c r="C65" s="440"/>
      <c r="D65" s="441"/>
      <c r="E65" s="442"/>
      <c r="F65" s="443"/>
      <c r="G65" s="444" t="s">
        <v>13</v>
      </c>
      <c r="H65" s="444" t="s">
        <v>105</v>
      </c>
      <c r="I65" s="445">
        <f>I55-CĐ4</f>
        <v>5.4399999999999995</v>
      </c>
      <c r="N65" s="114"/>
      <c r="P65" s="166"/>
      <c r="Q65" s="166"/>
    </row>
    <row r="66" spans="1:22" x14ac:dyDescent="0.2">
      <c r="A66" s="170"/>
      <c r="B66" s="171"/>
      <c r="C66" s="171"/>
      <c r="D66" s="172"/>
      <c r="E66" s="173"/>
      <c r="F66" s="172"/>
      <c r="G66" s="174"/>
      <c r="H66" s="174"/>
      <c r="I66" s="175"/>
      <c r="N66" s="114"/>
    </row>
    <row r="67" spans="1:22" x14ac:dyDescent="0.2">
      <c r="A67" s="114"/>
      <c r="B67" s="170"/>
      <c r="C67" s="171"/>
      <c r="D67" s="171"/>
      <c r="E67" s="172"/>
      <c r="F67" s="173"/>
      <c r="G67" s="172"/>
      <c r="H67" s="174"/>
      <c r="I67" s="174"/>
      <c r="J67" s="176"/>
      <c r="N67" s="114"/>
      <c r="P67" s="166"/>
      <c r="Q67" s="166"/>
    </row>
    <row r="68" spans="1:22" ht="15" x14ac:dyDescent="0.2">
      <c r="A68" s="281" t="s">
        <v>353</v>
      </c>
      <c r="B68" s="170"/>
      <c r="C68" s="171"/>
      <c r="D68" s="171"/>
      <c r="E68" s="172"/>
      <c r="F68" s="173"/>
      <c r="G68" s="172"/>
      <c r="H68" s="174"/>
      <c r="I68" s="174"/>
      <c r="J68" s="176"/>
      <c r="K68" s="166"/>
      <c r="N68" s="114"/>
      <c r="P68" s="166"/>
      <c r="Q68" s="166"/>
    </row>
    <row r="69" spans="1:22" ht="15" x14ac:dyDescent="0.2">
      <c r="A69" s="281" t="s">
        <v>354</v>
      </c>
      <c r="B69" s="170"/>
      <c r="C69" s="171"/>
      <c r="D69" s="171"/>
      <c r="E69" s="172"/>
      <c r="F69" s="173"/>
      <c r="G69" s="172"/>
      <c r="H69" s="174"/>
      <c r="I69" s="174"/>
      <c r="J69" s="176"/>
      <c r="N69" s="114"/>
    </row>
    <row r="70" spans="1:22" ht="15" x14ac:dyDescent="0.2">
      <c r="A70" s="177"/>
      <c r="B70" s="170"/>
      <c r="C70" s="171"/>
      <c r="D70" s="171"/>
      <c r="E70" s="172"/>
      <c r="F70" s="173"/>
      <c r="G70" s="172"/>
      <c r="H70" s="174"/>
      <c r="I70" s="174"/>
      <c r="J70" s="176"/>
      <c r="N70" s="114"/>
    </row>
    <row r="71" spans="1:22" ht="15" x14ac:dyDescent="0.2">
      <c r="A71" s="283" t="s">
        <v>362</v>
      </c>
      <c r="B71" s="170"/>
      <c r="C71" s="171"/>
      <c r="D71" s="171"/>
      <c r="E71" s="172"/>
      <c r="F71" s="173"/>
      <c r="G71" s="172"/>
      <c r="H71" s="174"/>
      <c r="I71" s="174"/>
      <c r="J71" s="176"/>
      <c r="N71" s="114"/>
    </row>
    <row r="72" spans="1:22" ht="16.5" x14ac:dyDescent="0.2">
      <c r="A72" s="283" t="s">
        <v>456</v>
      </c>
      <c r="B72" s="170"/>
      <c r="C72" s="171"/>
      <c r="D72" s="171"/>
      <c r="E72" s="172"/>
      <c r="F72" s="173"/>
      <c r="G72" s="172"/>
      <c r="H72" s="174"/>
      <c r="I72" s="174"/>
      <c r="J72" s="176"/>
      <c r="K72" s="166"/>
      <c r="N72" s="114"/>
    </row>
    <row r="73" spans="1:22" x14ac:dyDescent="0.2">
      <c r="A73" s="178" t="s">
        <v>106</v>
      </c>
      <c r="B73" s="170"/>
      <c r="C73" s="171"/>
      <c r="D73" s="171"/>
      <c r="E73" s="172"/>
      <c r="F73" s="173"/>
      <c r="G73" s="172"/>
      <c r="H73" s="174"/>
      <c r="I73" s="174"/>
      <c r="J73" s="176"/>
      <c r="P73" s="168"/>
      <c r="Q73" s="114"/>
      <c r="S73" s="168"/>
      <c r="T73" s="114"/>
    </row>
    <row r="74" spans="1:22" x14ac:dyDescent="0.2">
      <c r="A74" s="112" t="s">
        <v>457</v>
      </c>
      <c r="B74" s="170"/>
      <c r="C74" s="171"/>
      <c r="D74" s="171"/>
      <c r="E74" s="172"/>
      <c r="F74" s="173"/>
      <c r="G74" s="172"/>
      <c r="H74" s="174"/>
      <c r="I74" s="174"/>
      <c r="J74" s="176"/>
      <c r="M74" s="166"/>
      <c r="Q74" s="114"/>
      <c r="T74" s="114"/>
    </row>
    <row r="75" spans="1:22" ht="15.75" thickBot="1" x14ac:dyDescent="0.25">
      <c r="A75" s="113" t="s">
        <v>180</v>
      </c>
      <c r="B75" s="157"/>
      <c r="C75" s="157"/>
      <c r="D75" s="157"/>
      <c r="E75" s="157"/>
      <c r="F75" s="157"/>
      <c r="G75" s="157"/>
      <c r="H75" s="157"/>
      <c r="I75" s="157"/>
      <c r="J75" s="157"/>
      <c r="P75" s="179"/>
      <c r="Q75" s="114"/>
      <c r="S75" s="179"/>
      <c r="T75" s="114"/>
      <c r="V75" s="180"/>
    </row>
    <row r="76" spans="1:22" ht="17.25" x14ac:dyDescent="0.2">
      <c r="A76" s="117" t="s">
        <v>340</v>
      </c>
      <c r="B76" s="114"/>
      <c r="C76" s="114"/>
      <c r="D76" s="181" t="s">
        <v>350</v>
      </c>
      <c r="E76" s="157"/>
      <c r="F76" s="157"/>
      <c r="H76" s="182" t="s">
        <v>108</v>
      </c>
      <c r="I76" s="183">
        <f>I19*(I57-I58)*J19*M10</f>
        <v>0.62307010196172286</v>
      </c>
      <c r="J76" s="184" t="s">
        <v>22</v>
      </c>
      <c r="O76" s="166"/>
      <c r="P76" s="166"/>
      <c r="Q76" s="179"/>
      <c r="T76" s="179"/>
      <c r="V76" s="180"/>
    </row>
    <row r="77" spans="1:22" ht="18" thickBot="1" x14ac:dyDescent="0.25">
      <c r="A77" s="112" t="s">
        <v>458</v>
      </c>
      <c r="B77" s="170"/>
      <c r="C77" s="171"/>
      <c r="D77" s="181" t="s">
        <v>472</v>
      </c>
      <c r="E77" s="172"/>
      <c r="F77" s="173"/>
      <c r="H77" s="185" t="s">
        <v>109</v>
      </c>
      <c r="I77" s="186">
        <f>I21*(I58-D119)*J21*M10</f>
        <v>3.8985456785921797</v>
      </c>
      <c r="J77" s="187" t="s">
        <v>22</v>
      </c>
      <c r="Q77" s="179"/>
      <c r="T77" s="179"/>
      <c r="V77" s="180"/>
    </row>
    <row r="78" spans="1:22" ht="15" thickBot="1" x14ac:dyDescent="0.25">
      <c r="N78" s="114"/>
    </row>
    <row r="79" spans="1:22" ht="18" thickBot="1" x14ac:dyDescent="0.25">
      <c r="A79" s="117" t="s">
        <v>341</v>
      </c>
      <c r="B79" s="170"/>
      <c r="C79" s="171"/>
      <c r="D79" s="181" t="s">
        <v>473</v>
      </c>
      <c r="E79" s="172"/>
      <c r="F79" s="173"/>
      <c r="H79" s="357" t="s">
        <v>462</v>
      </c>
      <c r="I79" s="355">
        <f>M11*I21*K21*(I55-D119)</f>
        <v>8.7193187671653032</v>
      </c>
      <c r="J79" s="356" t="s">
        <v>22</v>
      </c>
      <c r="N79" s="114"/>
    </row>
    <row r="80" spans="1:22" x14ac:dyDescent="0.2">
      <c r="A80" s="112" t="s">
        <v>459</v>
      </c>
      <c r="B80" s="170"/>
      <c r="C80" s="171"/>
      <c r="G80" s="172"/>
      <c r="H80" s="188"/>
      <c r="I80" s="189"/>
      <c r="J80" s="190"/>
      <c r="N80" s="114"/>
    </row>
    <row r="81" spans="1:14" x14ac:dyDescent="0.2">
      <c r="B81" s="170"/>
      <c r="C81" s="171"/>
      <c r="D81" s="181"/>
      <c r="E81" s="172"/>
      <c r="F81" s="173"/>
      <c r="G81" s="172"/>
      <c r="H81" s="188"/>
      <c r="I81" s="189"/>
      <c r="J81" s="190"/>
      <c r="N81" s="114"/>
    </row>
    <row r="82" spans="1:14" x14ac:dyDescent="0.2">
      <c r="B82" s="170"/>
      <c r="C82" s="171"/>
      <c r="D82" s="171"/>
      <c r="E82" s="172"/>
      <c r="F82" s="173"/>
      <c r="G82" s="172"/>
      <c r="H82" s="174"/>
      <c r="I82" s="174"/>
      <c r="J82" s="176"/>
      <c r="N82" s="114"/>
    </row>
    <row r="83" spans="1:14" ht="15.75" thickBot="1" x14ac:dyDescent="0.25">
      <c r="A83" s="113" t="s">
        <v>181</v>
      </c>
      <c r="B83" s="170"/>
      <c r="C83" s="171"/>
      <c r="D83" s="171"/>
      <c r="E83" s="172"/>
      <c r="F83" s="173"/>
      <c r="G83" s="172"/>
      <c r="H83" s="174"/>
      <c r="I83" s="174"/>
      <c r="J83" s="176"/>
      <c r="N83" s="114"/>
    </row>
    <row r="84" spans="1:14" x14ac:dyDescent="0.2">
      <c r="A84" s="117" t="s">
        <v>107</v>
      </c>
      <c r="B84" s="170"/>
      <c r="C84" s="171"/>
      <c r="D84" s="157" t="s">
        <v>351</v>
      </c>
      <c r="E84" s="172"/>
      <c r="F84" s="173"/>
      <c r="H84" s="182" t="s">
        <v>111</v>
      </c>
      <c r="I84" s="183">
        <f>1/2*I76*(I57-I58)</f>
        <v>0.3426885560789476</v>
      </c>
      <c r="J84" s="191" t="s">
        <v>25</v>
      </c>
      <c r="N84" s="114"/>
    </row>
    <row r="85" spans="1:14" x14ac:dyDescent="0.2">
      <c r="A85" s="112" t="s">
        <v>458</v>
      </c>
      <c r="B85" s="170"/>
      <c r="C85" s="171"/>
      <c r="D85" s="157" t="s">
        <v>475</v>
      </c>
      <c r="H85" s="192" t="s">
        <v>112</v>
      </c>
      <c r="I85" s="193">
        <f>I76*(I58-D119)</f>
        <v>3.8630346321626816</v>
      </c>
      <c r="J85" s="194" t="s">
        <v>25</v>
      </c>
      <c r="N85" s="114"/>
    </row>
    <row r="86" spans="1:14" ht="15" thickBot="1" x14ac:dyDescent="0.25">
      <c r="D86" s="157" t="s">
        <v>476</v>
      </c>
      <c r="H86" s="185" t="s">
        <v>262</v>
      </c>
      <c r="I86" s="195">
        <f>1/2*I77*(I58-D119)</f>
        <v>12.085491603635758</v>
      </c>
      <c r="J86" s="196" t="s">
        <v>25</v>
      </c>
      <c r="N86" s="114"/>
    </row>
    <row r="87" spans="1:14" x14ac:dyDescent="0.2">
      <c r="D87" s="157"/>
      <c r="H87" s="188"/>
      <c r="I87" s="197"/>
      <c r="J87" s="174"/>
      <c r="N87" s="114"/>
    </row>
    <row r="88" spans="1:14" ht="15" thickBot="1" x14ac:dyDescent="0.25">
      <c r="J88" s="115"/>
      <c r="N88" s="114"/>
    </row>
    <row r="89" spans="1:14" ht="15" thickBot="1" x14ac:dyDescent="0.25">
      <c r="A89" s="117" t="s">
        <v>110</v>
      </c>
      <c r="B89" s="170"/>
      <c r="C89" s="171"/>
      <c r="D89" s="157" t="s">
        <v>477</v>
      </c>
      <c r="E89" s="172"/>
      <c r="F89" s="173"/>
      <c r="H89" s="357" t="s">
        <v>587</v>
      </c>
      <c r="I89" s="355">
        <f>0.5*I79*(I55-D119)</f>
        <v>21.798296917913259</v>
      </c>
      <c r="J89" s="358" t="s">
        <v>25</v>
      </c>
      <c r="N89" s="114"/>
    </row>
    <row r="90" spans="1:14" x14ac:dyDescent="0.2">
      <c r="A90" s="112" t="s">
        <v>459</v>
      </c>
      <c r="B90" s="170"/>
      <c r="C90" s="171"/>
      <c r="D90" s="157"/>
      <c r="E90" s="172"/>
      <c r="F90" s="173"/>
      <c r="H90" s="188"/>
      <c r="I90" s="197"/>
      <c r="J90" s="174"/>
      <c r="N90" s="114"/>
    </row>
    <row r="91" spans="1:14" x14ac:dyDescent="0.2">
      <c r="B91" s="170"/>
      <c r="C91" s="171"/>
      <c r="D91" s="157"/>
      <c r="E91" s="172"/>
      <c r="F91" s="173"/>
      <c r="H91" s="188"/>
      <c r="I91" s="197"/>
      <c r="J91" s="174"/>
      <c r="N91" s="114"/>
    </row>
    <row r="92" spans="1:14" x14ac:dyDescent="0.2">
      <c r="B92" s="170"/>
      <c r="C92" s="171"/>
      <c r="D92" s="157"/>
      <c r="E92" s="172"/>
      <c r="F92" s="173"/>
      <c r="H92" s="188"/>
      <c r="I92" s="197"/>
      <c r="J92" s="174"/>
      <c r="N92" s="114"/>
    </row>
    <row r="93" spans="1:14" ht="18.95" customHeight="1" thickBot="1" x14ac:dyDescent="0.25">
      <c r="A93" s="113" t="s">
        <v>352</v>
      </c>
      <c r="B93" s="157"/>
      <c r="C93" s="157"/>
      <c r="D93" s="157"/>
      <c r="E93" s="157"/>
      <c r="F93" s="157"/>
      <c r="G93" s="157"/>
      <c r="H93" s="157"/>
      <c r="I93" s="157"/>
      <c r="J93" s="198"/>
      <c r="N93" s="114"/>
    </row>
    <row r="94" spans="1:14" ht="18.95" customHeight="1" x14ac:dyDescent="0.2">
      <c r="A94" s="117" t="s">
        <v>107</v>
      </c>
      <c r="C94" s="114"/>
      <c r="D94" s="157" t="s">
        <v>463</v>
      </c>
      <c r="G94" s="114"/>
      <c r="H94" s="182" t="s">
        <v>113</v>
      </c>
      <c r="I94" s="183">
        <f>2/3*(I57-I58)</f>
        <v>0.73333333333333339</v>
      </c>
      <c r="J94" s="191" t="s">
        <v>9</v>
      </c>
      <c r="N94" s="114"/>
    </row>
    <row r="95" spans="1:14" ht="18.95" customHeight="1" x14ac:dyDescent="0.2">
      <c r="A95" s="112" t="s">
        <v>458</v>
      </c>
      <c r="C95" s="114"/>
      <c r="D95" s="157" t="s">
        <v>478</v>
      </c>
      <c r="E95" s="114"/>
      <c r="F95" s="114"/>
      <c r="G95" s="114"/>
      <c r="H95" s="192" t="s">
        <v>114</v>
      </c>
      <c r="I95" s="193">
        <f>(I57-D119)-(I58-D119)/2</f>
        <v>4.2000000000000011</v>
      </c>
      <c r="J95" s="194" t="s">
        <v>9</v>
      </c>
      <c r="N95" s="114"/>
    </row>
    <row r="96" spans="1:14" ht="18.95" customHeight="1" thickBot="1" x14ac:dyDescent="0.25">
      <c r="B96" s="157"/>
      <c r="C96" s="114"/>
      <c r="D96" s="157" t="s">
        <v>480</v>
      </c>
      <c r="H96" s="185" t="s">
        <v>263</v>
      </c>
      <c r="I96" s="186">
        <f>(I57-D119)-(I58-D119)/3</f>
        <v>5.2333333333333343</v>
      </c>
      <c r="J96" s="196" t="s">
        <v>9</v>
      </c>
      <c r="L96" s="166"/>
      <c r="N96" s="114"/>
    </row>
    <row r="97" spans="1:14" ht="18.95" customHeight="1" x14ac:dyDescent="0.2">
      <c r="B97" s="157"/>
      <c r="C97" s="114"/>
      <c r="D97" s="171"/>
      <c r="E97" s="172"/>
      <c r="F97" s="172"/>
      <c r="G97" s="172"/>
      <c r="H97" s="188"/>
      <c r="I97" s="197"/>
      <c r="J97" s="174"/>
      <c r="L97" s="166"/>
      <c r="N97" s="114"/>
    </row>
    <row r="98" spans="1:14" ht="18.95" customHeight="1" thickBot="1" x14ac:dyDescent="0.25">
      <c r="B98" s="157"/>
      <c r="C98" s="114"/>
      <c r="D98" s="157"/>
      <c r="E98" s="114"/>
      <c r="F98" s="114"/>
      <c r="G98" s="114"/>
      <c r="H98" s="188"/>
      <c r="I98" s="197"/>
      <c r="J98" s="174"/>
      <c r="N98" s="114"/>
    </row>
    <row r="99" spans="1:14" ht="18.95" customHeight="1" thickBot="1" x14ac:dyDescent="0.25">
      <c r="A99" s="117" t="s">
        <v>110</v>
      </c>
      <c r="B99" s="157"/>
      <c r="C99" s="114"/>
      <c r="D99" s="157" t="s">
        <v>479</v>
      </c>
      <c r="E99" s="157"/>
      <c r="F99" s="157"/>
      <c r="G99" s="157"/>
      <c r="H99" s="357" t="s">
        <v>464</v>
      </c>
      <c r="I99" s="355">
        <f>(CĐ2-I55)+2/3*(I55-D119)</f>
        <v>6.3933333333333326</v>
      </c>
      <c r="J99" s="358" t="s">
        <v>9</v>
      </c>
    </row>
    <row r="100" spans="1:14" ht="18.95" customHeight="1" x14ac:dyDescent="0.2">
      <c r="A100" s="112" t="s">
        <v>459</v>
      </c>
      <c r="B100" s="157"/>
      <c r="C100" s="157"/>
      <c r="D100" s="157"/>
      <c r="E100" s="114"/>
      <c r="F100" s="114"/>
      <c r="G100" s="114"/>
      <c r="H100" s="188"/>
      <c r="I100" s="197"/>
      <c r="J100" s="174"/>
      <c r="N100" s="114"/>
    </row>
    <row r="101" spans="1:14" ht="18.95" customHeight="1" x14ac:dyDescent="0.2">
      <c r="B101" s="157"/>
      <c r="C101" s="157"/>
      <c r="D101" s="157"/>
      <c r="E101" s="114"/>
      <c r="F101" s="114"/>
      <c r="G101" s="114"/>
      <c r="H101" s="188"/>
      <c r="I101" s="197"/>
      <c r="J101" s="174"/>
      <c r="N101" s="114"/>
    </row>
    <row r="102" spans="1:14" ht="18.95" customHeight="1" x14ac:dyDescent="0.2">
      <c r="A102" s="113" t="s">
        <v>182</v>
      </c>
      <c r="C102" s="114"/>
      <c r="G102" s="114"/>
      <c r="J102" s="115"/>
      <c r="N102" s="114"/>
    </row>
    <row r="103" spans="1:14" ht="18.95" customHeight="1" x14ac:dyDescent="0.2">
      <c r="A103" s="112" t="s">
        <v>115</v>
      </c>
      <c r="J103" s="115"/>
      <c r="N103" s="114"/>
    </row>
    <row r="104" spans="1:14" ht="18.95" customHeight="1" x14ac:dyDescent="0.2">
      <c r="A104" s="112" t="s">
        <v>116</v>
      </c>
      <c r="J104" s="198"/>
      <c r="N104" s="114"/>
    </row>
    <row r="105" spans="1:14" ht="18.95" customHeight="1" x14ac:dyDescent="0.2">
      <c r="A105" s="112" t="s">
        <v>264</v>
      </c>
      <c r="J105" s="198"/>
      <c r="N105" s="114"/>
    </row>
    <row r="106" spans="1:14" ht="18.95" customHeight="1" x14ac:dyDescent="0.2">
      <c r="A106" s="112" t="s">
        <v>117</v>
      </c>
      <c r="J106" s="157"/>
      <c r="L106" s="114"/>
      <c r="N106" s="114"/>
    </row>
    <row r="107" spans="1:14" ht="18.95" customHeight="1" x14ac:dyDescent="0.2">
      <c r="J107" s="157"/>
      <c r="N107" s="114"/>
    </row>
    <row r="108" spans="1:14" ht="18.95" customHeight="1" x14ac:dyDescent="0.2">
      <c r="A108" s="112" t="s">
        <v>118</v>
      </c>
      <c r="J108" s="157"/>
      <c r="N108" s="114"/>
    </row>
    <row r="109" spans="1:14" ht="18.95" customHeight="1" x14ac:dyDescent="0.2">
      <c r="A109" s="112" t="s">
        <v>169</v>
      </c>
      <c r="J109" s="157"/>
      <c r="N109" s="114"/>
    </row>
    <row r="110" spans="1:14" ht="18.95" customHeight="1" x14ac:dyDescent="0.2">
      <c r="A110" s="118" t="s">
        <v>119</v>
      </c>
      <c r="J110" s="157"/>
      <c r="N110" s="114"/>
    </row>
    <row r="111" spans="1:14" ht="18.95" customHeight="1" x14ac:dyDescent="0.2">
      <c r="A111" s="112" t="s">
        <v>170</v>
      </c>
      <c r="J111" s="157"/>
      <c r="N111" s="114"/>
    </row>
    <row r="112" spans="1:14" ht="18.95" customHeight="1" x14ac:dyDescent="0.2">
      <c r="A112" s="118" t="s">
        <v>120</v>
      </c>
      <c r="J112" s="157"/>
      <c r="N112" s="114"/>
    </row>
    <row r="113" spans="1:16" ht="18.95" customHeight="1" x14ac:dyDescent="0.2">
      <c r="A113" s="112" t="s">
        <v>121</v>
      </c>
      <c r="J113" s="157"/>
      <c r="N113" s="114"/>
    </row>
    <row r="114" spans="1:16" ht="18.95" customHeight="1" x14ac:dyDescent="0.2">
      <c r="C114" s="112" t="s">
        <v>355</v>
      </c>
      <c r="J114" s="157"/>
      <c r="N114" s="114"/>
    </row>
    <row r="115" spans="1:16" ht="18.95" customHeight="1" thickBot="1" x14ac:dyDescent="0.25">
      <c r="C115" s="112" t="s">
        <v>465</v>
      </c>
      <c r="E115" s="171"/>
      <c r="J115" s="157"/>
      <c r="N115" s="114"/>
    </row>
    <row r="116" spans="1:16" ht="18.95" customHeight="1" x14ac:dyDescent="0.2">
      <c r="C116" s="377" t="s">
        <v>159</v>
      </c>
      <c r="D116" s="378"/>
      <c r="E116" s="378"/>
      <c r="F116" s="379" t="s">
        <v>122</v>
      </c>
      <c r="G116" s="380"/>
      <c r="H116" s="381" t="s">
        <v>171</v>
      </c>
      <c r="I116" s="256"/>
      <c r="J116" s="256"/>
      <c r="K116" s="256"/>
      <c r="L116" s="257"/>
      <c r="N116" s="114"/>
    </row>
    <row r="117" spans="1:16" ht="18.95" customHeight="1" x14ac:dyDescent="0.2">
      <c r="C117" s="382" t="s">
        <v>123</v>
      </c>
      <c r="D117" s="200"/>
      <c r="E117" s="201"/>
      <c r="F117" s="202" t="s">
        <v>124</v>
      </c>
      <c r="G117" s="203"/>
      <c r="H117" s="204" t="s">
        <v>172</v>
      </c>
      <c r="I117" s="204" t="s">
        <v>173</v>
      </c>
      <c r="J117" s="204" t="s">
        <v>13</v>
      </c>
      <c r="K117" s="204" t="s">
        <v>125</v>
      </c>
      <c r="L117" s="383" t="s">
        <v>126</v>
      </c>
      <c r="M117" s="114"/>
      <c r="N117" s="114"/>
    </row>
    <row r="118" spans="1:16" ht="18.95" customHeight="1" x14ac:dyDescent="0.2">
      <c r="C118" s="384"/>
      <c r="D118" s="205" t="s">
        <v>474</v>
      </c>
      <c r="E118" s="206"/>
      <c r="F118" s="207" t="s">
        <v>174</v>
      </c>
      <c r="G118" s="208"/>
      <c r="H118" s="209" t="s">
        <v>127</v>
      </c>
      <c r="I118" s="209" t="s">
        <v>127</v>
      </c>
      <c r="J118" s="209"/>
      <c r="K118" s="209" t="s">
        <v>127</v>
      </c>
      <c r="L118" s="235" t="s">
        <v>127</v>
      </c>
      <c r="M118" s="114"/>
      <c r="N118" s="114"/>
    </row>
    <row r="119" spans="1:16" ht="18.95" customHeight="1" thickBot="1" x14ac:dyDescent="0.25">
      <c r="C119" s="372"/>
      <c r="D119" s="385">
        <f>I55-F119</f>
        <v>-3.3000000000000003</v>
      </c>
      <c r="E119" s="386"/>
      <c r="F119" s="387">
        <v>5</v>
      </c>
      <c r="G119" s="361"/>
      <c r="H119" s="388">
        <f>SUMPRODUCT(I84:I86,I94:I96)</f>
        <v>79.723456455234967</v>
      </c>
      <c r="I119" s="388">
        <f>SUMPRODUCT(I89,I99)</f>
        <v>139.36377829519208</v>
      </c>
      <c r="J119" s="388">
        <v>0.9</v>
      </c>
      <c r="K119" s="265">
        <f>+H119</f>
        <v>79.723456455234967</v>
      </c>
      <c r="L119" s="389">
        <f>+J119*I119</f>
        <v>125.42740046567287</v>
      </c>
      <c r="M119" s="114"/>
      <c r="P119" s="114" t="s">
        <v>481</v>
      </c>
    </row>
    <row r="120" spans="1:16" ht="18.95" customHeight="1" x14ac:dyDescent="0.2">
      <c r="A120" s="210"/>
      <c r="B120" s="210"/>
      <c r="C120" s="199"/>
      <c r="D120" s="210"/>
      <c r="E120" s="211"/>
      <c r="F120" s="199"/>
      <c r="G120" s="210"/>
      <c r="H120" s="210"/>
      <c r="I120" s="212"/>
      <c r="N120" s="114"/>
    </row>
    <row r="121" spans="1:16" ht="18.95" customHeight="1" x14ac:dyDescent="0.2">
      <c r="A121" s="112" t="s">
        <v>128</v>
      </c>
      <c r="C121" s="112" t="s">
        <v>129</v>
      </c>
      <c r="F121" s="213">
        <f>I65</f>
        <v>5.4399999999999995</v>
      </c>
      <c r="G121" s="199" t="s">
        <v>130</v>
      </c>
      <c r="H121" s="172" t="s">
        <v>175</v>
      </c>
      <c r="I121" s="214">
        <f>F119</f>
        <v>5</v>
      </c>
      <c r="J121" s="113" t="str">
        <f>IF(F121&gt;I121,"=&gt;The stability of cofferdam is OK.","=&gt;The stability of cofferdam is NOT OK.")</f>
        <v>=&gt;The stability of cofferdam is OK.</v>
      </c>
      <c r="M121" s="114"/>
      <c r="N121" s="114"/>
    </row>
    <row r="122" spans="1:16" ht="18.95" customHeight="1" x14ac:dyDescent="0.2">
      <c r="A122" s="178" t="s">
        <v>131</v>
      </c>
      <c r="C122" s="112" t="s">
        <v>132</v>
      </c>
      <c r="F122" s="213">
        <f>+F121</f>
        <v>5.4399999999999995</v>
      </c>
      <c r="G122" s="199" t="s">
        <v>130</v>
      </c>
      <c r="H122" s="172" t="s">
        <v>175</v>
      </c>
      <c r="I122" s="214">
        <f>+I121</f>
        <v>5</v>
      </c>
      <c r="J122" s="113" t="str">
        <f>IF(F122&gt;I122,"=&gt;Tường cọc ván thép đảm bảo ổn định.","=&gt;Tường cọc ván thép không đảm bảo ổn định.")</f>
        <v>=&gt;Tường cọc ván thép đảm bảo ổn định.</v>
      </c>
      <c r="M122" s="114"/>
      <c r="N122" s="114"/>
    </row>
    <row r="123" spans="1:16" ht="15" x14ac:dyDescent="0.2">
      <c r="F123" s="213"/>
      <c r="G123" s="199"/>
      <c r="H123" s="172"/>
      <c r="I123" s="214"/>
      <c r="J123" s="113"/>
      <c r="M123" s="114"/>
      <c r="N123" s="114"/>
    </row>
    <row r="124" spans="1:16" ht="15" x14ac:dyDescent="0.2">
      <c r="F124" s="213"/>
      <c r="G124" s="199"/>
      <c r="H124" s="172"/>
      <c r="I124" s="214"/>
      <c r="J124" s="113"/>
      <c r="M124" s="114"/>
      <c r="N124" s="114"/>
    </row>
    <row r="125" spans="1:16" ht="15" x14ac:dyDescent="0.2">
      <c r="F125" s="213"/>
      <c r="G125" s="199"/>
      <c r="H125" s="172"/>
      <c r="I125" s="214"/>
      <c r="J125" s="113"/>
      <c r="M125" s="114"/>
      <c r="N125" s="114"/>
    </row>
    <row r="126" spans="1:16" ht="15" x14ac:dyDescent="0.2">
      <c r="F126" s="213"/>
      <c r="G126" s="199"/>
      <c r="H126" s="172"/>
      <c r="I126" s="214"/>
      <c r="J126" s="113"/>
      <c r="M126" s="114"/>
      <c r="N126" s="114"/>
    </row>
    <row r="127" spans="1:16" ht="15" x14ac:dyDescent="0.2">
      <c r="A127" s="284" t="s">
        <v>133</v>
      </c>
      <c r="B127" s="114"/>
      <c r="C127" s="114"/>
      <c r="D127" s="172"/>
      <c r="E127" s="172"/>
      <c r="F127" s="215"/>
      <c r="G127" s="215"/>
      <c r="H127" s="114"/>
      <c r="I127" s="114"/>
      <c r="J127" s="114"/>
      <c r="K127" s="114"/>
      <c r="L127" s="114"/>
      <c r="M127" s="114"/>
      <c r="N127" s="114"/>
    </row>
    <row r="128" spans="1:16" ht="15" x14ac:dyDescent="0.2">
      <c r="A128" s="178" t="s">
        <v>106</v>
      </c>
      <c r="B128" s="114"/>
      <c r="C128" s="114"/>
      <c r="D128" s="172"/>
      <c r="E128" s="172"/>
      <c r="F128" s="215"/>
      <c r="G128" s="215"/>
      <c r="H128" s="216" t="s">
        <v>529</v>
      </c>
      <c r="I128" s="114"/>
      <c r="J128" s="114"/>
      <c r="L128" s="216" t="s">
        <v>530</v>
      </c>
    </row>
    <row r="129" spans="1:21" ht="15" x14ac:dyDescent="0.2">
      <c r="A129" s="114" t="s">
        <v>134</v>
      </c>
      <c r="B129" s="114"/>
      <c r="C129" s="114"/>
      <c r="D129" s="172"/>
      <c r="E129" s="172" t="s">
        <v>363</v>
      </c>
      <c r="F129" s="215"/>
      <c r="G129" s="215"/>
      <c r="H129" s="217" t="s">
        <v>330</v>
      </c>
      <c r="I129" s="114"/>
      <c r="J129" s="114"/>
      <c r="L129" s="217" t="s">
        <v>186</v>
      </c>
    </row>
    <row r="130" spans="1:21" x14ac:dyDescent="0.2">
      <c r="A130" s="114"/>
      <c r="B130" s="114"/>
      <c r="C130" s="114"/>
      <c r="D130" s="172"/>
      <c r="E130" s="172"/>
      <c r="F130" s="215"/>
      <c r="G130" s="215"/>
      <c r="H130" s="114"/>
      <c r="I130" s="114"/>
      <c r="J130" s="114"/>
      <c r="K130" s="114"/>
      <c r="L130" s="114"/>
      <c r="M130" s="114"/>
      <c r="N130" s="114"/>
    </row>
    <row r="131" spans="1:21" x14ac:dyDescent="0.2">
      <c r="A131" s="114"/>
      <c r="B131" s="114"/>
      <c r="C131" s="114"/>
      <c r="D131" s="172"/>
      <c r="E131" s="172"/>
      <c r="F131" s="215"/>
      <c r="K131" s="114"/>
      <c r="L131" s="114"/>
      <c r="M131" s="114"/>
      <c r="N131" s="114"/>
    </row>
    <row r="132" spans="1:21" x14ac:dyDescent="0.2">
      <c r="A132" s="114"/>
      <c r="B132" s="114"/>
      <c r="C132" s="114"/>
      <c r="D132" s="172"/>
      <c r="E132" s="172"/>
      <c r="F132" s="215"/>
      <c r="G132" s="215"/>
      <c r="H132" s="114"/>
      <c r="I132" s="114"/>
      <c r="J132" s="114"/>
      <c r="K132" s="114"/>
      <c r="L132" s="114"/>
      <c r="M132" s="114"/>
      <c r="N132" s="114"/>
    </row>
    <row r="133" spans="1:21" x14ac:dyDescent="0.2">
      <c r="A133" s="114"/>
      <c r="B133" s="114"/>
      <c r="C133" s="114"/>
      <c r="D133" s="172"/>
      <c r="E133" s="172"/>
      <c r="F133" s="215"/>
      <c r="G133" s="409">
        <v>2</v>
      </c>
      <c r="K133" s="114"/>
      <c r="L133" s="114"/>
      <c r="P133" s="123" t="s">
        <v>88</v>
      </c>
      <c r="Q133" s="166">
        <f>I52</f>
        <v>5.26</v>
      </c>
      <c r="R133" s="123" t="s">
        <v>484</v>
      </c>
      <c r="S133" s="405">
        <f>Q133-Q134</f>
        <v>0.5</v>
      </c>
    </row>
    <row r="134" spans="1:21" ht="15" x14ac:dyDescent="0.2">
      <c r="A134" s="114"/>
      <c r="B134" s="114"/>
      <c r="C134" s="114"/>
      <c r="D134" s="172"/>
      <c r="E134" s="172"/>
      <c r="F134" s="215"/>
      <c r="K134" s="401"/>
      <c r="L134" s="411">
        <v>503.7</v>
      </c>
      <c r="P134" s="402" t="s">
        <v>89</v>
      </c>
      <c r="Q134" s="403">
        <f>CĐ2</f>
        <v>4.76</v>
      </c>
      <c r="R134" s="123" t="s">
        <v>485</v>
      </c>
      <c r="S134" s="405">
        <f>Q134-Q136</f>
        <v>1.8599999999999999</v>
      </c>
      <c r="T134" s="166"/>
    </row>
    <row r="135" spans="1:21" x14ac:dyDescent="0.2">
      <c r="A135" s="114"/>
      <c r="B135" s="114"/>
      <c r="C135" s="114"/>
      <c r="D135" s="172"/>
      <c r="E135" s="172"/>
      <c r="F135" s="215"/>
      <c r="K135" s="401"/>
      <c r="L135" s="114"/>
      <c r="P135" s="123" t="s">
        <v>467</v>
      </c>
      <c r="Q135" s="166">
        <f>I57</f>
        <v>4</v>
      </c>
      <c r="R135" s="406" t="s">
        <v>486</v>
      </c>
      <c r="S135" s="405">
        <f>Q136-Q140</f>
        <v>3.7</v>
      </c>
      <c r="T135" s="166">
        <f>Q133-Q135</f>
        <v>1.2599999999999998</v>
      </c>
      <c r="U135" s="112">
        <f>T135*K154/2+T138*K155/2+T138*K154</f>
        <v>12.389540365758613</v>
      </c>
    </row>
    <row r="136" spans="1:21" x14ac:dyDescent="0.2">
      <c r="A136" s="114"/>
      <c r="B136" s="114"/>
      <c r="C136" s="114"/>
      <c r="D136" s="172"/>
      <c r="E136" s="172"/>
      <c r="F136" s="215"/>
      <c r="I136" s="166"/>
      <c r="J136" s="166"/>
      <c r="K136" s="401"/>
      <c r="L136" s="114"/>
      <c r="M136" s="114"/>
      <c r="N136" s="114"/>
      <c r="P136" s="123" t="s">
        <v>261</v>
      </c>
      <c r="Q136" s="166">
        <f>I58</f>
        <v>2.9</v>
      </c>
    </row>
    <row r="137" spans="1:21" x14ac:dyDescent="0.2">
      <c r="A137" s="114"/>
      <c r="B137" s="114"/>
      <c r="C137" s="114"/>
      <c r="D137" s="172"/>
      <c r="E137" s="172"/>
      <c r="F137" s="215"/>
      <c r="I137" s="166"/>
      <c r="J137" s="166"/>
      <c r="K137" s="401"/>
      <c r="L137" s="114"/>
      <c r="M137" s="114"/>
      <c r="N137" s="114"/>
      <c r="P137" s="123" t="s">
        <v>91</v>
      </c>
      <c r="Q137" s="166">
        <f>I55</f>
        <v>1.6999999999999997</v>
      </c>
    </row>
    <row r="138" spans="1:21" ht="15" x14ac:dyDescent="0.2">
      <c r="A138" s="114"/>
      <c r="B138" s="114"/>
      <c r="C138" s="114"/>
      <c r="D138" s="172"/>
      <c r="E138" s="172"/>
      <c r="F138" s="215"/>
      <c r="H138" s="112">
        <v>1240.5999999999999</v>
      </c>
      <c r="I138" s="400"/>
      <c r="J138" s="166"/>
      <c r="K138" s="401"/>
      <c r="M138" s="114"/>
      <c r="N138" s="114"/>
      <c r="P138" s="402" t="s">
        <v>468</v>
      </c>
      <c r="Q138" s="404">
        <f>0.5*(Q139-Q137)</f>
        <v>-2.5</v>
      </c>
      <c r="S138" s="112">
        <v>0.5</v>
      </c>
      <c r="T138" s="114">
        <f>Q134-Q140</f>
        <v>5.5600000000000005</v>
      </c>
    </row>
    <row r="139" spans="1:21" x14ac:dyDescent="0.2">
      <c r="A139" s="114"/>
      <c r="B139" s="114"/>
      <c r="C139" s="114"/>
      <c r="D139" s="172"/>
      <c r="E139" s="172"/>
      <c r="F139" s="215"/>
      <c r="I139" s="166"/>
      <c r="K139" s="401"/>
      <c r="L139" s="114"/>
      <c r="M139" s="114"/>
      <c r="N139" s="114"/>
      <c r="P139" s="123" t="s">
        <v>93</v>
      </c>
      <c r="Q139" s="166">
        <f>D119</f>
        <v>-3.3000000000000003</v>
      </c>
      <c r="S139" s="114">
        <f>+Q134-Q140</f>
        <v>5.5600000000000005</v>
      </c>
    </row>
    <row r="140" spans="1:21" x14ac:dyDescent="0.2">
      <c r="A140" s="114"/>
      <c r="B140" s="114"/>
      <c r="C140" s="114"/>
      <c r="D140" s="172"/>
      <c r="E140" s="172"/>
      <c r="F140" s="215"/>
      <c r="I140" s="166"/>
      <c r="J140" s="114"/>
      <c r="K140" s="114"/>
      <c r="L140" s="114"/>
      <c r="M140" s="114"/>
      <c r="N140" s="114"/>
      <c r="P140" s="390" t="s">
        <v>483</v>
      </c>
      <c r="Q140" s="114">
        <f>Q137+Q138</f>
        <v>-0.80000000000000027</v>
      </c>
      <c r="S140" s="166"/>
    </row>
    <row r="141" spans="1:21" x14ac:dyDescent="0.2">
      <c r="A141" s="114"/>
      <c r="B141" s="114"/>
      <c r="C141" s="114"/>
      <c r="D141" s="172"/>
      <c r="E141" s="172"/>
      <c r="F141" s="215"/>
      <c r="G141" s="215"/>
      <c r="H141" s="114"/>
      <c r="I141" s="114"/>
      <c r="J141" s="114"/>
      <c r="K141" s="114"/>
      <c r="M141" s="114"/>
      <c r="N141" s="114"/>
      <c r="P141" s="123"/>
    </row>
    <row r="142" spans="1:21" x14ac:dyDescent="0.2">
      <c r="A142" s="114"/>
      <c r="B142" s="114"/>
      <c r="C142" s="114"/>
      <c r="D142" s="172"/>
      <c r="E142" s="172"/>
      <c r="F142" s="215"/>
      <c r="G142" s="390">
        <v>0</v>
      </c>
      <c r="H142" s="114"/>
      <c r="I142" s="114"/>
      <c r="J142" s="114"/>
      <c r="K142" s="114"/>
      <c r="L142" s="114"/>
      <c r="M142" s="114"/>
      <c r="N142" s="114"/>
      <c r="P142" s="123"/>
      <c r="T142" s="166"/>
    </row>
    <row r="143" spans="1:21" x14ac:dyDescent="0.2">
      <c r="A143" s="114"/>
      <c r="B143" s="114"/>
      <c r="C143" s="114"/>
      <c r="D143" s="172"/>
      <c r="E143" s="172"/>
      <c r="F143" s="215"/>
      <c r="G143" s="215"/>
      <c r="H143" s="114"/>
      <c r="I143" s="114"/>
      <c r="J143" s="114"/>
      <c r="K143" s="114"/>
      <c r="L143" s="407">
        <v>1654.8</v>
      </c>
      <c r="M143" s="114"/>
      <c r="N143" s="114"/>
      <c r="P143" s="123"/>
    </row>
    <row r="144" spans="1:21" x14ac:dyDescent="0.2">
      <c r="A144" s="114"/>
      <c r="B144" s="114"/>
      <c r="C144" s="114"/>
      <c r="D144" s="172"/>
      <c r="E144" s="172"/>
      <c r="F144" s="215"/>
      <c r="G144" s="215"/>
      <c r="H144" s="114"/>
      <c r="I144" s="114"/>
      <c r="J144" s="114"/>
      <c r="K144" s="114"/>
      <c r="L144" s="114"/>
      <c r="M144" s="114"/>
      <c r="N144" s="114"/>
      <c r="P144" s="123"/>
    </row>
    <row r="145" spans="1:21" x14ac:dyDescent="0.2">
      <c r="A145" s="114"/>
      <c r="B145" s="114"/>
      <c r="C145" s="114"/>
      <c r="D145" s="172"/>
      <c r="E145" s="172"/>
      <c r="F145" s="215"/>
      <c r="G145" s="215"/>
      <c r="H145" s="114"/>
      <c r="I145" s="114"/>
      <c r="J145" s="114"/>
      <c r="K145" s="114"/>
      <c r="L145" s="114"/>
      <c r="M145" s="114"/>
      <c r="N145" s="114"/>
      <c r="P145" s="123"/>
      <c r="T145" s="166"/>
    </row>
    <row r="146" spans="1:21" x14ac:dyDescent="0.2">
      <c r="A146" s="114"/>
      <c r="B146" s="114"/>
      <c r="C146" s="114"/>
      <c r="D146" s="172"/>
      <c r="E146" s="172"/>
      <c r="F146" s="215"/>
      <c r="G146" s="215"/>
      <c r="H146" s="114"/>
      <c r="I146" s="114"/>
      <c r="J146" s="114"/>
      <c r="K146" s="114"/>
      <c r="L146" s="114"/>
      <c r="M146" s="114"/>
      <c r="N146" s="114"/>
      <c r="T146" s="166"/>
      <c r="U146" s="166"/>
    </row>
    <row r="147" spans="1:21" x14ac:dyDescent="0.2">
      <c r="A147" s="114"/>
      <c r="B147" s="114"/>
      <c r="C147" s="114"/>
      <c r="D147" s="172"/>
      <c r="E147" s="172"/>
      <c r="F147" s="215"/>
      <c r="G147" s="215"/>
      <c r="H147" s="114"/>
      <c r="I147" s="114"/>
      <c r="J147" s="114"/>
      <c r="K147" s="114"/>
      <c r="L147" s="114"/>
      <c r="M147" s="114"/>
      <c r="N147" s="114"/>
    </row>
    <row r="148" spans="1:21" x14ac:dyDescent="0.2">
      <c r="A148" s="114"/>
      <c r="B148" s="114"/>
      <c r="C148" s="114"/>
      <c r="D148" s="172"/>
      <c r="E148" s="172"/>
      <c r="F148" s="215"/>
      <c r="G148" s="215"/>
      <c r="H148" s="114"/>
      <c r="I148" s="114"/>
      <c r="J148" s="114"/>
      <c r="K148" s="114"/>
      <c r="L148" s="114"/>
      <c r="M148" s="114"/>
      <c r="N148" s="114"/>
      <c r="R148" s="123"/>
      <c r="S148" s="166"/>
      <c r="T148" s="166"/>
      <c r="U148" s="166"/>
    </row>
    <row r="149" spans="1:21" x14ac:dyDescent="0.2">
      <c r="A149" s="114"/>
      <c r="B149" s="114"/>
      <c r="C149" s="114"/>
      <c r="D149" s="172"/>
      <c r="E149" s="172"/>
      <c r="F149" s="215"/>
      <c r="G149" s="215"/>
      <c r="H149" s="114"/>
      <c r="I149" s="114"/>
      <c r="J149" s="114"/>
      <c r="K149" s="114"/>
      <c r="L149" s="114"/>
      <c r="M149" s="114"/>
      <c r="N149" s="114"/>
      <c r="S149" s="166"/>
    </row>
    <row r="150" spans="1:21" x14ac:dyDescent="0.2">
      <c r="A150" s="114"/>
      <c r="B150" s="114"/>
      <c r="C150" s="114"/>
      <c r="D150" s="172"/>
      <c r="E150" s="172"/>
      <c r="F150" s="215"/>
      <c r="G150" s="215"/>
      <c r="H150" s="114"/>
      <c r="I150" s="114"/>
      <c r="J150" s="114"/>
      <c r="K150" s="114"/>
      <c r="L150" s="114"/>
      <c r="M150" s="114"/>
      <c r="N150" s="114"/>
    </row>
    <row r="151" spans="1:21" x14ac:dyDescent="0.2">
      <c r="B151" s="157"/>
      <c r="C151" s="157"/>
      <c r="D151" s="157"/>
      <c r="E151" s="157"/>
      <c r="F151" s="157"/>
      <c r="G151" s="157"/>
      <c r="H151" s="157"/>
      <c r="I151" s="157"/>
      <c r="J151" s="114"/>
      <c r="K151" s="114"/>
      <c r="L151" s="114"/>
      <c r="M151" s="114"/>
      <c r="N151" s="114"/>
    </row>
    <row r="152" spans="1:21" ht="15.75" thickBot="1" x14ac:dyDescent="0.25">
      <c r="A152" s="113" t="s">
        <v>135</v>
      </c>
      <c r="B152" s="157"/>
      <c r="C152" s="157"/>
      <c r="D152" s="157"/>
      <c r="E152" s="157"/>
      <c r="F152" s="157"/>
      <c r="G152" s="157"/>
      <c r="H152" s="157"/>
      <c r="I152" s="157"/>
      <c r="J152" s="114"/>
      <c r="K152" s="114"/>
      <c r="L152" s="114"/>
      <c r="M152" s="114"/>
      <c r="N152" s="114"/>
      <c r="P152" s="408"/>
      <c r="R152" s="166"/>
    </row>
    <row r="153" spans="1:21" x14ac:dyDescent="0.2">
      <c r="A153" s="112" t="s">
        <v>136</v>
      </c>
      <c r="B153" s="157"/>
      <c r="C153" s="114"/>
      <c r="D153" s="255" t="s">
        <v>53</v>
      </c>
      <c r="E153" s="256"/>
      <c r="F153" s="393"/>
      <c r="G153" s="452" t="s">
        <v>137</v>
      </c>
      <c r="H153" s="453"/>
      <c r="I153" s="454"/>
      <c r="J153" s="455" t="s">
        <v>138</v>
      </c>
      <c r="K153" s="456"/>
      <c r="L153" s="114"/>
      <c r="M153" s="114"/>
      <c r="N153" s="114"/>
    </row>
    <row r="154" spans="1:21" ht="14.25" customHeight="1" x14ac:dyDescent="0.2">
      <c r="A154" s="112" t="s">
        <v>466</v>
      </c>
      <c r="B154" s="157"/>
      <c r="C154" s="114"/>
      <c r="D154" s="394" t="s">
        <v>350</v>
      </c>
      <c r="E154" s="391"/>
      <c r="F154" s="392"/>
      <c r="G154" s="193"/>
      <c r="H154" s="398">
        <f>I19*(I57-I58)*J19*M10</f>
        <v>0.62307010196172286</v>
      </c>
      <c r="I154" s="220"/>
      <c r="J154" s="359"/>
      <c r="K154" s="360">
        <f>+H154*$M$10</f>
        <v>0.74768412235406745</v>
      </c>
      <c r="L154" s="114"/>
      <c r="M154" s="114"/>
      <c r="N154" s="114"/>
    </row>
    <row r="155" spans="1:21" ht="18" thickBot="1" x14ac:dyDescent="0.25">
      <c r="B155" s="157"/>
      <c r="C155" s="181"/>
      <c r="D155" s="395" t="s">
        <v>482</v>
      </c>
      <c r="E155" s="396"/>
      <c r="F155" s="397"/>
      <c r="G155" s="186"/>
      <c r="H155" s="399">
        <f>I21*(I58-Q140)*J21*M10</f>
        <v>2.3265514533533977</v>
      </c>
      <c r="I155" s="222"/>
      <c r="J155" s="361"/>
      <c r="K155" s="224">
        <f>+H155*$M$10</f>
        <v>2.7918617440240774</v>
      </c>
      <c r="L155" s="114"/>
      <c r="M155" s="114"/>
      <c r="N155" s="114"/>
    </row>
    <row r="156" spans="1:21" x14ac:dyDescent="0.2">
      <c r="B156" s="157"/>
      <c r="C156" s="181"/>
      <c r="L156" s="114"/>
      <c r="M156" s="114"/>
      <c r="N156" s="114"/>
    </row>
    <row r="157" spans="1:21" ht="15" x14ac:dyDescent="0.2">
      <c r="A157" s="113" t="s">
        <v>139</v>
      </c>
      <c r="B157" s="114"/>
      <c r="C157" s="114"/>
      <c r="D157" s="114"/>
      <c r="E157" s="114"/>
      <c r="F157" s="114"/>
      <c r="G157" s="114"/>
      <c r="H157" s="114"/>
    </row>
    <row r="158" spans="1:21" x14ac:dyDescent="0.2">
      <c r="A158" s="112" t="s">
        <v>160</v>
      </c>
      <c r="B158" s="114"/>
      <c r="C158" s="114"/>
      <c r="D158" s="114"/>
      <c r="E158" s="114"/>
      <c r="F158" s="114"/>
      <c r="G158" s="114"/>
      <c r="H158" s="114"/>
    </row>
    <row r="159" spans="1:21" x14ac:dyDescent="0.2">
      <c r="A159" s="112" t="s">
        <v>161</v>
      </c>
      <c r="B159" s="114"/>
      <c r="C159" s="123"/>
      <c r="D159" s="166"/>
      <c r="E159" s="114"/>
      <c r="F159" s="114"/>
      <c r="G159" s="114"/>
      <c r="H159" s="114"/>
    </row>
    <row r="160" spans="1:21" x14ac:dyDescent="0.2">
      <c r="A160" s="230" t="s">
        <v>162</v>
      </c>
      <c r="B160" s="114"/>
      <c r="C160" s="118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1:14" ht="15" thickBot="1" x14ac:dyDescent="0.2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1:14" ht="18.75" x14ac:dyDescent="0.2">
      <c r="A162" s="114"/>
      <c r="B162" s="114"/>
      <c r="C162" s="114"/>
      <c r="D162" s="241" t="s">
        <v>140</v>
      </c>
      <c r="E162" s="242" t="s">
        <v>176</v>
      </c>
      <c r="F162" s="243" t="s">
        <v>141</v>
      </c>
      <c r="G162" s="242" t="s">
        <v>177</v>
      </c>
      <c r="H162" s="243" t="s">
        <v>178</v>
      </c>
      <c r="I162" s="244" t="s">
        <v>142</v>
      </c>
      <c r="J162" s="243" t="s">
        <v>143</v>
      </c>
      <c r="K162" s="245" t="s">
        <v>144</v>
      </c>
      <c r="L162" s="114"/>
      <c r="M162" s="114"/>
      <c r="N162" s="114"/>
    </row>
    <row r="163" spans="1:14" x14ac:dyDescent="0.2">
      <c r="A163" s="114"/>
      <c r="B163" s="114"/>
      <c r="C163" s="114"/>
      <c r="D163" s="246" t="s">
        <v>145</v>
      </c>
      <c r="E163" s="231" t="s">
        <v>146</v>
      </c>
      <c r="F163" s="209" t="s">
        <v>147</v>
      </c>
      <c r="G163" s="231" t="s">
        <v>146</v>
      </c>
      <c r="H163" s="209" t="s">
        <v>148</v>
      </c>
      <c r="I163" s="209" t="s">
        <v>149</v>
      </c>
      <c r="J163" s="209" t="s">
        <v>149</v>
      </c>
      <c r="K163" s="235"/>
      <c r="L163" s="114"/>
      <c r="M163" s="114"/>
      <c r="N163" s="114"/>
    </row>
    <row r="164" spans="1:14" ht="15.75" thickBot="1" x14ac:dyDescent="0.25">
      <c r="A164" s="114"/>
      <c r="B164" s="114"/>
      <c r="C164" s="232"/>
      <c r="D164" s="247" t="s">
        <v>150</v>
      </c>
      <c r="E164" s="248">
        <v>2202</v>
      </c>
      <c r="F164" s="249">
        <v>0.8</v>
      </c>
      <c r="G164" s="250">
        <f>E164*F164</f>
        <v>1761.6000000000001</v>
      </c>
      <c r="H164" s="238">
        <f>H138</f>
        <v>1240.5999999999999</v>
      </c>
      <c r="I164" s="251">
        <f>H164*10^2/G164</f>
        <v>70.424613987284275</v>
      </c>
      <c r="J164" s="252">
        <f>D14</f>
        <v>2000</v>
      </c>
      <c r="K164" s="253" t="str">
        <f>IF(I164&lt;J164,"OK!","Checked!")</f>
        <v>OK!</v>
      </c>
      <c r="L164" s="114"/>
      <c r="M164" s="114"/>
      <c r="N164" s="114"/>
    </row>
    <row r="165" spans="1:14" ht="15" x14ac:dyDescent="0.2">
      <c r="A165" s="114"/>
      <c r="B165" s="114"/>
      <c r="C165" s="232"/>
      <c r="D165" s="199"/>
      <c r="E165" s="199"/>
      <c r="F165" s="199"/>
      <c r="G165" s="215"/>
      <c r="H165" s="215"/>
      <c r="I165" s="233"/>
      <c r="J165" s="234"/>
      <c r="K165" s="212"/>
      <c r="L165" s="114"/>
      <c r="M165" s="114"/>
      <c r="N165" s="114"/>
    </row>
    <row r="166" spans="1:14" ht="15.75" thickBot="1" x14ac:dyDescent="0.25">
      <c r="A166" s="230" t="s">
        <v>342</v>
      </c>
      <c r="B166" s="114"/>
      <c r="C166" s="232"/>
      <c r="D166" s="199"/>
      <c r="E166" s="199"/>
      <c r="F166" s="199"/>
      <c r="G166" s="215"/>
      <c r="H166" s="215"/>
      <c r="I166" s="233"/>
      <c r="J166" s="234"/>
      <c r="K166" s="212"/>
      <c r="L166" s="114"/>
      <c r="M166" s="114"/>
      <c r="N166" s="114"/>
    </row>
    <row r="167" spans="1:14" ht="15" customHeight="1" x14ac:dyDescent="0.2">
      <c r="A167" s="114"/>
      <c r="B167" s="114"/>
      <c r="C167" s="232"/>
      <c r="D167" s="199"/>
      <c r="E167" s="199"/>
      <c r="F167" s="218" t="s">
        <v>53</v>
      </c>
      <c r="G167" s="448" t="s">
        <v>197</v>
      </c>
      <c r="H167" s="449"/>
      <c r="I167" s="285"/>
      <c r="J167" s="285"/>
      <c r="K167" s="114"/>
      <c r="L167" s="114"/>
    </row>
    <row r="168" spans="1:14" ht="15" x14ac:dyDescent="0.2">
      <c r="A168" s="114"/>
      <c r="B168" s="114"/>
      <c r="C168" s="232"/>
      <c r="D168" s="199"/>
      <c r="E168" s="199"/>
      <c r="F168" s="236" t="s">
        <v>187</v>
      </c>
      <c r="G168" s="287">
        <f>L134</f>
        <v>503.7</v>
      </c>
      <c r="H168" s="288" t="s">
        <v>38</v>
      </c>
      <c r="I168" s="215"/>
      <c r="J168" s="286"/>
      <c r="K168" s="114"/>
      <c r="L168" s="114"/>
    </row>
    <row r="169" spans="1:14" ht="15.75" thickBot="1" x14ac:dyDescent="0.25">
      <c r="A169" s="114"/>
      <c r="B169" s="114"/>
      <c r="C169" s="232"/>
      <c r="D169" s="199"/>
      <c r="E169" s="199"/>
      <c r="F169" s="237" t="s">
        <v>188</v>
      </c>
      <c r="G169" s="250">
        <f>L143</f>
        <v>1654.8</v>
      </c>
      <c r="H169" s="289" t="s">
        <v>38</v>
      </c>
      <c r="I169" s="215"/>
      <c r="J169" s="286"/>
      <c r="K169" s="114"/>
      <c r="L169" s="114"/>
    </row>
    <row r="170" spans="1:14" ht="15" x14ac:dyDescent="0.2">
      <c r="A170" s="284" t="s">
        <v>364</v>
      </c>
      <c r="B170" s="114"/>
      <c r="C170" s="232"/>
      <c r="D170" s="199"/>
      <c r="E170" s="199"/>
      <c r="M170" s="114"/>
      <c r="N170" s="114"/>
    </row>
    <row r="171" spans="1:14" ht="6.75" customHeight="1" thickBot="1" x14ac:dyDescent="0.25">
      <c r="A171" s="284"/>
      <c r="B171" s="114"/>
      <c r="C171" s="232"/>
      <c r="D171" s="199"/>
      <c r="E171" s="199"/>
      <c r="M171" s="114"/>
      <c r="N171" s="114"/>
    </row>
    <row r="172" spans="1:14" ht="15" x14ac:dyDescent="0.2">
      <c r="A172" s="284"/>
      <c r="B172" s="114"/>
      <c r="C172" s="232"/>
      <c r="D172" s="255" t="s">
        <v>333</v>
      </c>
      <c r="E172" s="256"/>
      <c r="F172" s="256"/>
      <c r="G172" s="256"/>
      <c r="H172" s="256"/>
      <c r="I172" s="256"/>
      <c r="J172" s="256"/>
      <c r="K172" s="256"/>
      <c r="L172" s="256"/>
      <c r="M172" s="257"/>
      <c r="N172" s="114"/>
    </row>
    <row r="173" spans="1:14" ht="18.75" x14ac:dyDescent="0.2">
      <c r="A173" s="284"/>
      <c r="B173" s="114"/>
      <c r="C173" s="232"/>
      <c r="D173" s="254" t="s">
        <v>191</v>
      </c>
      <c r="E173" s="258" t="s">
        <v>246</v>
      </c>
      <c r="F173" s="259"/>
      <c r="G173" s="260" t="s">
        <v>205</v>
      </c>
      <c r="H173" s="260" t="s">
        <v>194</v>
      </c>
      <c r="I173" s="260" t="s">
        <v>206</v>
      </c>
      <c r="J173" s="260" t="s">
        <v>195</v>
      </c>
      <c r="K173" s="260" t="s">
        <v>196</v>
      </c>
      <c r="L173" s="260" t="s">
        <v>204</v>
      </c>
      <c r="M173" s="261" t="s">
        <v>192</v>
      </c>
      <c r="N173" s="114"/>
    </row>
    <row r="174" spans="1:14" ht="15" x14ac:dyDescent="0.2">
      <c r="A174" s="284"/>
      <c r="B174" s="114"/>
      <c r="C174" s="232"/>
      <c r="D174" s="254" t="s">
        <v>365</v>
      </c>
      <c r="E174" s="120" t="s">
        <v>411</v>
      </c>
      <c r="F174" s="259"/>
      <c r="G174" s="121">
        <f>2*9480</f>
        <v>18960</v>
      </c>
      <c r="H174" s="262">
        <f>2*632</f>
        <v>1264</v>
      </c>
      <c r="I174" s="121">
        <f>588*2</f>
        <v>1176</v>
      </c>
      <c r="J174" s="262">
        <f>78.4*2</f>
        <v>156.80000000000001</v>
      </c>
      <c r="K174" s="260">
        <f>61.58*2</f>
        <v>123.16</v>
      </c>
      <c r="L174" s="263">
        <f>+(G174/K174)^0.5</f>
        <v>12.407501214655818</v>
      </c>
      <c r="M174" s="410">
        <f>G168/1000</f>
        <v>0.50370000000000004</v>
      </c>
      <c r="N174" s="114"/>
    </row>
    <row r="175" spans="1:14" ht="15" x14ac:dyDescent="0.2">
      <c r="A175" s="284"/>
      <c r="B175" s="114"/>
      <c r="C175" s="232"/>
      <c r="D175" s="254" t="s">
        <v>366</v>
      </c>
      <c r="E175" s="120" t="s">
        <v>411</v>
      </c>
      <c r="F175" s="259"/>
      <c r="G175" s="260">
        <f>G174</f>
        <v>18960</v>
      </c>
      <c r="H175" s="260">
        <f>H174</f>
        <v>1264</v>
      </c>
      <c r="I175" s="260">
        <f>I174</f>
        <v>1176</v>
      </c>
      <c r="J175" s="260">
        <f>J174</f>
        <v>156.80000000000001</v>
      </c>
      <c r="K175" s="260">
        <f>K174</f>
        <v>123.16</v>
      </c>
      <c r="L175" s="263">
        <f>+(G175/K175)^0.5</f>
        <v>12.407501214655818</v>
      </c>
      <c r="M175" s="410">
        <f>M174</f>
        <v>0.50370000000000004</v>
      </c>
      <c r="N175" s="114"/>
    </row>
    <row r="176" spans="1:14" ht="15" x14ac:dyDescent="0.2">
      <c r="A176" s="284"/>
      <c r="B176" s="114"/>
      <c r="C176" s="232"/>
      <c r="D176" s="254" t="s">
        <v>367</v>
      </c>
      <c r="E176" s="120" t="s">
        <v>412</v>
      </c>
      <c r="F176" s="259"/>
      <c r="G176" s="260">
        <f>G175/2</f>
        <v>9480</v>
      </c>
      <c r="H176" s="260">
        <f>H175/2</f>
        <v>632</v>
      </c>
      <c r="I176" s="260">
        <f>I175/2</f>
        <v>588</v>
      </c>
      <c r="J176" s="260">
        <f>J175/2</f>
        <v>78.400000000000006</v>
      </c>
      <c r="K176" s="260">
        <f>K175/2</f>
        <v>61.58</v>
      </c>
      <c r="L176" s="263">
        <f>+(G176/K176)^0.5</f>
        <v>12.407501214655818</v>
      </c>
      <c r="M176" s="261"/>
      <c r="N176" s="114"/>
    </row>
    <row r="177" spans="1:14" ht="15.75" thickBot="1" x14ac:dyDescent="0.25">
      <c r="A177" s="284"/>
      <c r="B177" s="114"/>
      <c r="C177" s="232"/>
      <c r="D177" s="247" t="s">
        <v>469</v>
      </c>
      <c r="E177" s="362" t="s">
        <v>411</v>
      </c>
      <c r="F177" s="363"/>
      <c r="G177" s="249">
        <f>2*9480</f>
        <v>18960</v>
      </c>
      <c r="H177" s="249">
        <f>2*632</f>
        <v>1264</v>
      </c>
      <c r="I177" s="249">
        <f>588*2</f>
        <v>1176</v>
      </c>
      <c r="J177" s="249">
        <f>78.4*2</f>
        <v>156.80000000000001</v>
      </c>
      <c r="K177" s="249">
        <f>61.58*2</f>
        <v>123.16</v>
      </c>
      <c r="L177" s="265">
        <f>+(G177/K177)^0.5</f>
        <v>12.407501214655818</v>
      </c>
      <c r="M177" s="364"/>
      <c r="N177" s="114"/>
    </row>
    <row r="178" spans="1:14" ht="15" x14ac:dyDescent="0.2">
      <c r="A178" s="284"/>
      <c r="B178" s="114"/>
      <c r="C178" s="113" t="s">
        <v>247</v>
      </c>
      <c r="J178" s="113" t="s">
        <v>248</v>
      </c>
      <c r="N178" s="114"/>
    </row>
    <row r="179" spans="1:14" ht="15" x14ac:dyDescent="0.2">
      <c r="A179" s="284"/>
      <c r="B179" s="114"/>
      <c r="C179" s="232"/>
      <c r="D179" s="199"/>
      <c r="E179" s="199"/>
      <c r="M179" s="114"/>
      <c r="N179" s="114"/>
    </row>
    <row r="180" spans="1:14" ht="15" x14ac:dyDescent="0.2">
      <c r="A180" s="284"/>
      <c r="B180" s="114"/>
      <c r="C180" s="232"/>
      <c r="D180" s="199"/>
      <c r="E180" s="199"/>
      <c r="M180" s="114"/>
      <c r="N180" s="114"/>
    </row>
    <row r="181" spans="1:14" ht="15" x14ac:dyDescent="0.2">
      <c r="A181" s="284"/>
      <c r="B181" s="114"/>
      <c r="C181" s="232"/>
      <c r="D181" s="199"/>
      <c r="E181" s="199"/>
      <c r="M181" s="114"/>
      <c r="N181" s="114"/>
    </row>
    <row r="182" spans="1:14" ht="15" x14ac:dyDescent="0.2">
      <c r="A182" s="284"/>
      <c r="B182" s="114"/>
      <c r="C182" s="232"/>
      <c r="D182" s="199"/>
      <c r="E182" s="199"/>
      <c r="M182" s="114"/>
      <c r="N182" s="114"/>
    </row>
    <row r="183" spans="1:14" ht="15" x14ac:dyDescent="0.2">
      <c r="A183" s="284"/>
      <c r="B183" s="114"/>
      <c r="C183" s="232"/>
      <c r="D183" s="199"/>
      <c r="E183" s="199"/>
      <c r="M183" s="114"/>
      <c r="N183" s="114"/>
    </row>
    <row r="184" spans="1:14" ht="15" x14ac:dyDescent="0.2">
      <c r="A184" s="284"/>
      <c r="B184" s="114"/>
      <c r="C184" s="232"/>
      <c r="D184" s="199"/>
      <c r="E184" s="199"/>
      <c r="M184" s="114"/>
      <c r="N184" s="114"/>
    </row>
    <row r="185" spans="1:14" ht="15" x14ac:dyDescent="0.2">
      <c r="A185" s="284"/>
      <c r="B185" s="114"/>
      <c r="C185" s="232"/>
      <c r="D185" s="199"/>
      <c r="E185" s="199"/>
      <c r="M185" s="114"/>
      <c r="N185" s="114"/>
    </row>
    <row r="186" spans="1:14" ht="15" x14ac:dyDescent="0.2">
      <c r="A186" s="284"/>
      <c r="B186" s="114"/>
      <c r="C186" s="232"/>
      <c r="D186" s="199"/>
      <c r="E186" s="199"/>
      <c r="M186" s="114"/>
      <c r="N186" s="114"/>
    </row>
    <row r="187" spans="1:14" ht="15" x14ac:dyDescent="0.2">
      <c r="A187" s="284"/>
      <c r="B187" s="114"/>
      <c r="C187" s="232"/>
      <c r="D187" s="199"/>
      <c r="E187" s="199"/>
      <c r="M187" s="114"/>
      <c r="N187" s="114"/>
    </row>
    <row r="188" spans="1:14" ht="15" x14ac:dyDescent="0.2">
      <c r="A188" s="284"/>
      <c r="B188" s="114"/>
      <c r="C188" s="232"/>
      <c r="D188" s="199"/>
      <c r="E188" s="199"/>
      <c r="M188" s="114"/>
      <c r="N188" s="114"/>
    </row>
    <row r="189" spans="1:14" ht="15" x14ac:dyDescent="0.2">
      <c r="A189" s="284"/>
      <c r="B189" s="114"/>
      <c r="C189" s="232"/>
      <c r="D189" s="199"/>
      <c r="E189" s="199"/>
      <c r="M189" s="114"/>
      <c r="N189" s="114"/>
    </row>
    <row r="190" spans="1:14" ht="15" x14ac:dyDescent="0.2">
      <c r="A190" s="284"/>
      <c r="B190" s="114"/>
      <c r="C190" s="232"/>
      <c r="D190" s="199"/>
      <c r="E190" s="199"/>
      <c r="M190" s="114"/>
      <c r="N190" s="114"/>
    </row>
    <row r="191" spans="1:14" ht="15" x14ac:dyDescent="0.2">
      <c r="A191" s="284"/>
      <c r="B191" s="114"/>
      <c r="C191" s="232"/>
      <c r="D191" s="199"/>
      <c r="E191" s="199"/>
      <c r="M191" s="114"/>
      <c r="N191" s="114"/>
    </row>
    <row r="192" spans="1:14" ht="15" x14ac:dyDescent="0.2">
      <c r="A192" s="284"/>
      <c r="B192" s="114"/>
      <c r="C192" s="232"/>
      <c r="D192" s="199"/>
      <c r="E192" s="199"/>
      <c r="M192" s="114"/>
      <c r="N192" s="114"/>
    </row>
    <row r="193" spans="1:14" ht="15" x14ac:dyDescent="0.2">
      <c r="A193" s="284"/>
      <c r="B193" s="114"/>
      <c r="C193" s="232"/>
      <c r="D193" s="199"/>
      <c r="E193" s="199"/>
      <c r="M193" s="114"/>
      <c r="N193" s="114"/>
    </row>
    <row r="194" spans="1:14" ht="15" x14ac:dyDescent="0.2">
      <c r="A194" s="284"/>
      <c r="B194" s="114"/>
      <c r="C194" s="232"/>
      <c r="D194" s="199"/>
      <c r="E194" s="199"/>
      <c r="M194" s="114"/>
      <c r="N194" s="114"/>
    </row>
    <row r="195" spans="1:14" x14ac:dyDescent="0.2">
      <c r="A195" s="112" t="s">
        <v>334</v>
      </c>
    </row>
    <row r="196" spans="1:14" ht="15" x14ac:dyDescent="0.2">
      <c r="C196" s="113" t="s">
        <v>470</v>
      </c>
      <c r="K196" s="113" t="s">
        <v>471</v>
      </c>
    </row>
    <row r="197" spans="1:14" ht="15" x14ac:dyDescent="0.2">
      <c r="A197" s="284"/>
      <c r="B197" s="114"/>
      <c r="C197" s="232"/>
      <c r="D197" s="199"/>
      <c r="E197" s="199"/>
      <c r="M197" s="114"/>
      <c r="N197" s="114"/>
    </row>
    <row r="198" spans="1:14" ht="15" x14ac:dyDescent="0.2">
      <c r="A198" s="284"/>
      <c r="B198" s="114"/>
      <c r="C198" s="232"/>
      <c r="D198" s="199"/>
      <c r="E198" s="199"/>
      <c r="M198" s="114"/>
      <c r="N198" s="114"/>
    </row>
    <row r="199" spans="1:14" ht="15" x14ac:dyDescent="0.2">
      <c r="A199" s="284"/>
      <c r="B199" s="114"/>
      <c r="C199" s="232"/>
      <c r="D199" s="199"/>
      <c r="E199" s="199"/>
      <c r="M199" s="114"/>
      <c r="N199" s="114"/>
    </row>
    <row r="200" spans="1:14" ht="15" x14ac:dyDescent="0.2">
      <c r="A200" s="284"/>
      <c r="B200" s="114"/>
      <c r="C200" s="232"/>
      <c r="D200" s="199"/>
      <c r="E200" s="199"/>
      <c r="M200" s="114"/>
      <c r="N200" s="114"/>
    </row>
    <row r="201" spans="1:14" ht="15" x14ac:dyDescent="0.2">
      <c r="A201" s="284"/>
      <c r="B201" s="114"/>
      <c r="C201" s="232"/>
      <c r="D201" s="199"/>
      <c r="E201" s="199"/>
      <c r="M201" s="114"/>
      <c r="N201" s="114"/>
    </row>
    <row r="202" spans="1:14" ht="15" x14ac:dyDescent="0.2">
      <c r="A202" s="284"/>
      <c r="B202" s="114"/>
      <c r="C202" s="232"/>
      <c r="D202" s="199"/>
      <c r="E202" s="199"/>
      <c r="M202" s="114"/>
      <c r="N202" s="114"/>
    </row>
    <row r="203" spans="1:14" ht="15" x14ac:dyDescent="0.2">
      <c r="A203" s="284"/>
      <c r="B203" s="114"/>
      <c r="C203" s="232"/>
      <c r="D203" s="199"/>
      <c r="E203" s="199"/>
      <c r="M203" s="114"/>
      <c r="N203" s="114"/>
    </row>
    <row r="204" spans="1:14" ht="15" x14ac:dyDescent="0.2">
      <c r="A204" s="284"/>
      <c r="B204" s="114"/>
      <c r="C204" s="232"/>
      <c r="D204" s="199"/>
      <c r="E204" s="199"/>
      <c r="M204" s="114"/>
      <c r="N204" s="114"/>
    </row>
    <row r="205" spans="1:14" ht="15" x14ac:dyDescent="0.2">
      <c r="A205" s="284"/>
      <c r="B205" s="114"/>
      <c r="C205" s="232"/>
      <c r="D205" s="199"/>
      <c r="E205" s="199"/>
      <c r="M205" s="114"/>
      <c r="N205" s="114"/>
    </row>
    <row r="206" spans="1:14" ht="15" x14ac:dyDescent="0.2">
      <c r="A206" s="284"/>
      <c r="B206" s="114"/>
      <c r="C206" s="232"/>
      <c r="D206" s="199"/>
      <c r="E206" s="199"/>
      <c r="M206" s="114"/>
      <c r="N206" s="114"/>
    </row>
    <row r="207" spans="1:14" ht="15" x14ac:dyDescent="0.2">
      <c r="A207" s="284"/>
      <c r="B207" s="114"/>
      <c r="C207" s="232"/>
      <c r="D207" s="199"/>
      <c r="E207" s="199"/>
      <c r="M207" s="114"/>
      <c r="N207" s="114"/>
    </row>
    <row r="208" spans="1:14" ht="15" x14ac:dyDescent="0.2">
      <c r="A208" s="284"/>
      <c r="B208" s="114"/>
      <c r="C208" s="232"/>
      <c r="D208" s="199"/>
      <c r="E208" s="199"/>
      <c r="M208" s="114"/>
      <c r="N208" s="114"/>
    </row>
    <row r="209" spans="1:14" ht="15" x14ac:dyDescent="0.2">
      <c r="A209" s="284"/>
      <c r="B209" s="114"/>
      <c r="C209" s="232"/>
      <c r="D209" s="199"/>
      <c r="E209" s="199"/>
      <c r="M209" s="114"/>
      <c r="N209" s="114"/>
    </row>
    <row r="210" spans="1:14" ht="15" x14ac:dyDescent="0.2">
      <c r="A210" s="284"/>
      <c r="B210" s="114"/>
      <c r="C210" s="232"/>
      <c r="D210" s="199"/>
      <c r="E210" s="199"/>
      <c r="M210" s="114"/>
      <c r="N210" s="114"/>
    </row>
    <row r="211" spans="1:14" ht="15" x14ac:dyDescent="0.2">
      <c r="A211" s="284"/>
      <c r="B211" s="114"/>
      <c r="C211" s="232"/>
      <c r="D211" s="199"/>
      <c r="E211" s="199"/>
      <c r="M211" s="114"/>
      <c r="N211" s="114"/>
    </row>
    <row r="212" spans="1:14" ht="15" x14ac:dyDescent="0.2">
      <c r="A212" s="284"/>
      <c r="B212" s="114"/>
      <c r="C212" s="232"/>
      <c r="D212" s="199"/>
      <c r="E212" s="199"/>
      <c r="M212" s="114"/>
      <c r="N212" s="114"/>
    </row>
    <row r="213" spans="1:14" ht="15" x14ac:dyDescent="0.2">
      <c r="A213" s="113" t="s">
        <v>207</v>
      </c>
      <c r="M213" s="114"/>
      <c r="N213" s="114"/>
    </row>
    <row r="214" spans="1:14" ht="15" thickBot="1" x14ac:dyDescent="0.25">
      <c r="M214" s="114"/>
      <c r="N214" s="114"/>
    </row>
    <row r="215" spans="1:14" ht="16.7" customHeight="1" x14ac:dyDescent="0.2">
      <c r="B215" s="241" t="s">
        <v>323</v>
      </c>
      <c r="C215" s="243" t="s">
        <v>344</v>
      </c>
      <c r="D215" s="267" t="s">
        <v>345</v>
      </c>
      <c r="E215" s="267" t="s">
        <v>346</v>
      </c>
      <c r="F215" s="243" t="s">
        <v>6</v>
      </c>
      <c r="G215" s="267" t="s">
        <v>238</v>
      </c>
      <c r="H215" s="267" t="s">
        <v>329</v>
      </c>
      <c r="I215" s="244" t="s">
        <v>232</v>
      </c>
      <c r="J215" s="244" t="s">
        <v>233</v>
      </c>
      <c r="K215" s="244" t="s">
        <v>234</v>
      </c>
      <c r="L215" s="271" t="s">
        <v>202</v>
      </c>
      <c r="M215" s="114"/>
      <c r="N215" s="114"/>
    </row>
    <row r="216" spans="1:14" ht="16.7" customHeight="1" x14ac:dyDescent="0.2">
      <c r="B216" s="246" t="s">
        <v>331</v>
      </c>
      <c r="C216" s="272" t="s">
        <v>203</v>
      </c>
      <c r="D216" s="273" t="s">
        <v>332</v>
      </c>
      <c r="E216" s="273" t="s">
        <v>332</v>
      </c>
      <c r="F216" s="209" t="s">
        <v>239</v>
      </c>
      <c r="G216" s="209" t="s">
        <v>240</v>
      </c>
      <c r="H216" s="209" t="s">
        <v>240</v>
      </c>
      <c r="I216" s="274" t="s">
        <v>149</v>
      </c>
      <c r="J216" s="274" t="s">
        <v>149</v>
      </c>
      <c r="K216" s="274" t="s">
        <v>149</v>
      </c>
      <c r="L216" s="275" t="s">
        <v>144</v>
      </c>
      <c r="M216" s="114"/>
      <c r="N216" s="114"/>
    </row>
    <row r="217" spans="1:14" ht="16.7" customHeight="1" x14ac:dyDescent="0.2">
      <c r="B217" s="412" t="s">
        <v>487</v>
      </c>
      <c r="C217" s="262" t="s">
        <v>531</v>
      </c>
      <c r="D217" s="262" t="s">
        <v>537</v>
      </c>
      <c r="E217" s="262" t="s">
        <v>511</v>
      </c>
      <c r="F217" s="263">
        <f>$K$174</f>
        <v>123.16</v>
      </c>
      <c r="G217" s="263">
        <f t="shared" ref="G217:G231" si="0">$H$174</f>
        <v>1264</v>
      </c>
      <c r="H217" s="263">
        <f t="shared" ref="H217:H276" si="1">$J$174</f>
        <v>156.80000000000001</v>
      </c>
      <c r="I217" s="262" t="e">
        <f t="shared" ref="I217:I237" si="2">+ABS(C217)/F217</f>
        <v>#VALUE!</v>
      </c>
      <c r="J217" s="262" t="e">
        <f>+(ABS(D217)/G217+ABS(E217)/H217)*100</f>
        <v>#VALUE!</v>
      </c>
      <c r="K217" s="262" t="e">
        <f t="shared" ref="K217:K237" si="3">+ABS(J217)+ABS(I217)</f>
        <v>#VALUE!</v>
      </c>
      <c r="L217" s="276" t="e">
        <f>IF(AND(ABS(K217)&lt;$D$13,ABS(J217)&lt;$D$14),"OK !", "Check??")</f>
        <v>#VALUE!</v>
      </c>
      <c r="M217" s="114"/>
      <c r="N217" s="114"/>
    </row>
    <row r="218" spans="1:14" ht="16.7" customHeight="1" x14ac:dyDescent="0.2">
      <c r="B218" s="412" t="s">
        <v>487</v>
      </c>
      <c r="C218" s="262" t="s">
        <v>531</v>
      </c>
      <c r="D218" s="262" t="s">
        <v>538</v>
      </c>
      <c r="E218" s="262" t="s">
        <v>512</v>
      </c>
      <c r="F218" s="263">
        <f t="shared" ref="F218:F276" si="4">$K$174</f>
        <v>123.16</v>
      </c>
      <c r="G218" s="263">
        <f t="shared" si="0"/>
        <v>1264</v>
      </c>
      <c r="H218" s="263">
        <f t="shared" si="1"/>
        <v>156.80000000000001</v>
      </c>
      <c r="I218" s="262" t="e">
        <f t="shared" si="2"/>
        <v>#VALUE!</v>
      </c>
      <c r="J218" s="262" t="e">
        <f t="shared" ref="J218:J237" si="5">+(ABS(D218)/G218+ABS(E218)/H218)*100</f>
        <v>#VALUE!</v>
      </c>
      <c r="K218" s="262" t="e">
        <f t="shared" si="3"/>
        <v>#VALUE!</v>
      </c>
      <c r="L218" s="276" t="e">
        <f t="shared" ref="L218:L272" si="6">IF(AND(ABS(K218)&lt;$D$13,ABS(J218)&lt;$D$14),"OK !", "Check??")</f>
        <v>#VALUE!</v>
      </c>
      <c r="M218" s="114"/>
      <c r="N218" s="114"/>
    </row>
    <row r="219" spans="1:14" ht="16.7" customHeight="1" x14ac:dyDescent="0.2">
      <c r="A219" s="278"/>
      <c r="B219" s="412" t="s">
        <v>487</v>
      </c>
      <c r="C219" s="262" t="s">
        <v>531</v>
      </c>
      <c r="D219" s="262" t="s">
        <v>539</v>
      </c>
      <c r="E219" s="262" t="s">
        <v>513</v>
      </c>
      <c r="F219" s="263">
        <f t="shared" si="4"/>
        <v>123.16</v>
      </c>
      <c r="G219" s="263">
        <f t="shared" si="0"/>
        <v>1264</v>
      </c>
      <c r="H219" s="263">
        <f t="shared" si="1"/>
        <v>156.80000000000001</v>
      </c>
      <c r="I219" s="262" t="e">
        <f t="shared" si="2"/>
        <v>#VALUE!</v>
      </c>
      <c r="J219" s="262" t="e">
        <f t="shared" si="5"/>
        <v>#VALUE!</v>
      </c>
      <c r="K219" s="262" t="e">
        <f t="shared" si="3"/>
        <v>#VALUE!</v>
      </c>
      <c r="L219" s="276" t="e">
        <f t="shared" si="6"/>
        <v>#VALUE!</v>
      </c>
      <c r="M219" s="114"/>
      <c r="N219" s="114"/>
    </row>
    <row r="220" spans="1:14" ht="16.7" customHeight="1" x14ac:dyDescent="0.2">
      <c r="B220" s="412" t="s">
        <v>488</v>
      </c>
      <c r="C220" s="262" t="s">
        <v>532</v>
      </c>
      <c r="D220" s="262" t="s">
        <v>540</v>
      </c>
      <c r="E220" s="262" t="s">
        <v>514</v>
      </c>
      <c r="F220" s="263">
        <f t="shared" si="4"/>
        <v>123.16</v>
      </c>
      <c r="G220" s="263">
        <f t="shared" si="0"/>
        <v>1264</v>
      </c>
      <c r="H220" s="263">
        <f t="shared" si="1"/>
        <v>156.80000000000001</v>
      </c>
      <c r="I220" s="262" t="e">
        <f t="shared" si="2"/>
        <v>#VALUE!</v>
      </c>
      <c r="J220" s="262" t="e">
        <f t="shared" si="5"/>
        <v>#VALUE!</v>
      </c>
      <c r="K220" s="262" t="e">
        <f t="shared" si="3"/>
        <v>#VALUE!</v>
      </c>
      <c r="L220" s="276" t="e">
        <f t="shared" si="6"/>
        <v>#VALUE!</v>
      </c>
      <c r="M220" s="114"/>
      <c r="N220" s="114"/>
    </row>
    <row r="221" spans="1:14" ht="16.7" customHeight="1" x14ac:dyDescent="0.2">
      <c r="B221" s="412" t="s">
        <v>488</v>
      </c>
      <c r="C221" s="262" t="s">
        <v>532</v>
      </c>
      <c r="D221" s="262" t="s">
        <v>541</v>
      </c>
      <c r="E221" s="262" t="s">
        <v>515</v>
      </c>
      <c r="F221" s="263">
        <f t="shared" si="4"/>
        <v>123.16</v>
      </c>
      <c r="G221" s="263">
        <f t="shared" si="0"/>
        <v>1264</v>
      </c>
      <c r="H221" s="263">
        <f t="shared" si="1"/>
        <v>156.80000000000001</v>
      </c>
      <c r="I221" s="262" t="e">
        <f t="shared" si="2"/>
        <v>#VALUE!</v>
      </c>
      <c r="J221" s="262" t="e">
        <f t="shared" si="5"/>
        <v>#VALUE!</v>
      </c>
      <c r="K221" s="262" t="e">
        <f t="shared" si="3"/>
        <v>#VALUE!</v>
      </c>
      <c r="L221" s="276" t="e">
        <f t="shared" si="6"/>
        <v>#VALUE!</v>
      </c>
      <c r="M221" s="114"/>
      <c r="N221" s="114"/>
    </row>
    <row r="222" spans="1:14" ht="16.7" customHeight="1" x14ac:dyDescent="0.2">
      <c r="B222" s="412" t="s">
        <v>488</v>
      </c>
      <c r="C222" s="262" t="s">
        <v>532</v>
      </c>
      <c r="D222" s="262" t="s">
        <v>542</v>
      </c>
      <c r="E222" s="262" t="s">
        <v>516</v>
      </c>
      <c r="F222" s="263">
        <f t="shared" si="4"/>
        <v>123.16</v>
      </c>
      <c r="G222" s="263">
        <f t="shared" si="0"/>
        <v>1264</v>
      </c>
      <c r="H222" s="263">
        <f t="shared" si="1"/>
        <v>156.80000000000001</v>
      </c>
      <c r="I222" s="262" t="e">
        <f t="shared" si="2"/>
        <v>#VALUE!</v>
      </c>
      <c r="J222" s="262" t="e">
        <f t="shared" si="5"/>
        <v>#VALUE!</v>
      </c>
      <c r="K222" s="262" t="e">
        <f t="shared" si="3"/>
        <v>#VALUE!</v>
      </c>
      <c r="L222" s="276" t="e">
        <f t="shared" si="6"/>
        <v>#VALUE!</v>
      </c>
      <c r="M222" s="114"/>
      <c r="N222" s="114"/>
    </row>
    <row r="223" spans="1:14" ht="16.7" customHeight="1" x14ac:dyDescent="0.2">
      <c r="B223" s="412" t="s">
        <v>489</v>
      </c>
      <c r="C223" s="262" t="s">
        <v>532</v>
      </c>
      <c r="D223" s="262" t="s">
        <v>543</v>
      </c>
      <c r="E223" s="262" t="s">
        <v>516</v>
      </c>
      <c r="F223" s="263">
        <f t="shared" si="4"/>
        <v>123.16</v>
      </c>
      <c r="G223" s="263">
        <f t="shared" si="0"/>
        <v>1264</v>
      </c>
      <c r="H223" s="263">
        <f t="shared" si="1"/>
        <v>156.80000000000001</v>
      </c>
      <c r="I223" s="262" t="e">
        <f t="shared" si="2"/>
        <v>#VALUE!</v>
      </c>
      <c r="J223" s="262" t="e">
        <f t="shared" si="5"/>
        <v>#VALUE!</v>
      </c>
      <c r="K223" s="262" t="e">
        <f t="shared" si="3"/>
        <v>#VALUE!</v>
      </c>
      <c r="L223" s="276" t="e">
        <f t="shared" si="6"/>
        <v>#VALUE!</v>
      </c>
      <c r="M223" s="114"/>
      <c r="N223" s="114"/>
    </row>
    <row r="224" spans="1:14" ht="16.7" customHeight="1" x14ac:dyDescent="0.2">
      <c r="B224" s="412" t="s">
        <v>489</v>
      </c>
      <c r="C224" s="262" t="s">
        <v>532</v>
      </c>
      <c r="D224" s="262" t="s">
        <v>544</v>
      </c>
      <c r="E224" s="262" t="s">
        <v>517</v>
      </c>
      <c r="F224" s="263">
        <f t="shared" si="4"/>
        <v>123.16</v>
      </c>
      <c r="G224" s="263">
        <f t="shared" si="0"/>
        <v>1264</v>
      </c>
      <c r="H224" s="263">
        <f t="shared" si="1"/>
        <v>156.80000000000001</v>
      </c>
      <c r="I224" s="262" t="e">
        <f t="shared" si="2"/>
        <v>#VALUE!</v>
      </c>
      <c r="J224" s="262" t="e">
        <f t="shared" si="5"/>
        <v>#VALUE!</v>
      </c>
      <c r="K224" s="262" t="e">
        <f t="shared" si="3"/>
        <v>#VALUE!</v>
      </c>
      <c r="L224" s="276" t="e">
        <f t="shared" si="6"/>
        <v>#VALUE!</v>
      </c>
      <c r="M224" s="114"/>
      <c r="N224" s="114"/>
    </row>
    <row r="225" spans="2:14" ht="16.7" customHeight="1" x14ac:dyDescent="0.2">
      <c r="B225" s="412" t="s">
        <v>489</v>
      </c>
      <c r="C225" s="262" t="s">
        <v>532</v>
      </c>
      <c r="D225" s="262" t="s">
        <v>545</v>
      </c>
      <c r="E225" s="262" t="s">
        <v>518</v>
      </c>
      <c r="F225" s="263">
        <f t="shared" si="4"/>
        <v>123.16</v>
      </c>
      <c r="G225" s="263">
        <f t="shared" si="0"/>
        <v>1264</v>
      </c>
      <c r="H225" s="263">
        <f t="shared" si="1"/>
        <v>156.80000000000001</v>
      </c>
      <c r="I225" s="262" t="e">
        <f t="shared" si="2"/>
        <v>#VALUE!</v>
      </c>
      <c r="J225" s="262" t="e">
        <f t="shared" si="5"/>
        <v>#VALUE!</v>
      </c>
      <c r="K225" s="262" t="e">
        <f t="shared" si="3"/>
        <v>#VALUE!</v>
      </c>
      <c r="L225" s="276" t="e">
        <f t="shared" si="6"/>
        <v>#VALUE!</v>
      </c>
      <c r="M225" s="114"/>
      <c r="N225" s="114"/>
    </row>
    <row r="226" spans="2:14" ht="16.7" customHeight="1" x14ac:dyDescent="0.2">
      <c r="B226" s="412" t="s">
        <v>490</v>
      </c>
      <c r="C226" s="262" t="s">
        <v>532</v>
      </c>
      <c r="D226" s="262" t="s">
        <v>542</v>
      </c>
      <c r="E226" s="262" t="s">
        <v>516</v>
      </c>
      <c r="F226" s="263">
        <f t="shared" si="4"/>
        <v>123.16</v>
      </c>
      <c r="G226" s="263">
        <f t="shared" si="0"/>
        <v>1264</v>
      </c>
      <c r="H226" s="263">
        <f t="shared" si="1"/>
        <v>156.80000000000001</v>
      </c>
      <c r="I226" s="262" t="e">
        <f t="shared" si="2"/>
        <v>#VALUE!</v>
      </c>
      <c r="J226" s="262" t="e">
        <f t="shared" si="5"/>
        <v>#VALUE!</v>
      </c>
      <c r="K226" s="262" t="e">
        <f t="shared" si="3"/>
        <v>#VALUE!</v>
      </c>
      <c r="L226" s="276" t="e">
        <f t="shared" si="6"/>
        <v>#VALUE!</v>
      </c>
      <c r="M226" s="114"/>
      <c r="N226" s="114"/>
    </row>
    <row r="227" spans="2:14" ht="16.7" customHeight="1" x14ac:dyDescent="0.2">
      <c r="B227" s="412" t="s">
        <v>490</v>
      </c>
      <c r="C227" s="262" t="s">
        <v>532</v>
      </c>
      <c r="D227" s="262" t="s">
        <v>541</v>
      </c>
      <c r="E227" s="262" t="s">
        <v>515</v>
      </c>
      <c r="F227" s="263">
        <f t="shared" si="4"/>
        <v>123.16</v>
      </c>
      <c r="G227" s="263">
        <f t="shared" si="0"/>
        <v>1264</v>
      </c>
      <c r="H227" s="263">
        <f t="shared" si="1"/>
        <v>156.80000000000001</v>
      </c>
      <c r="I227" s="262" t="e">
        <f t="shared" si="2"/>
        <v>#VALUE!</v>
      </c>
      <c r="J227" s="262" t="e">
        <f t="shared" si="5"/>
        <v>#VALUE!</v>
      </c>
      <c r="K227" s="262" t="e">
        <f t="shared" si="3"/>
        <v>#VALUE!</v>
      </c>
      <c r="L227" s="276" t="e">
        <f t="shared" si="6"/>
        <v>#VALUE!</v>
      </c>
      <c r="M227" s="114"/>
      <c r="N227" s="114"/>
    </row>
    <row r="228" spans="2:14" ht="16.7" customHeight="1" x14ac:dyDescent="0.2">
      <c r="B228" s="412" t="s">
        <v>490</v>
      </c>
      <c r="C228" s="262" t="s">
        <v>532</v>
      </c>
      <c r="D228" s="262" t="s">
        <v>540</v>
      </c>
      <c r="E228" s="262" t="s">
        <v>514</v>
      </c>
      <c r="F228" s="263">
        <f t="shared" si="4"/>
        <v>123.16</v>
      </c>
      <c r="G228" s="263">
        <f t="shared" si="0"/>
        <v>1264</v>
      </c>
      <c r="H228" s="263">
        <f t="shared" si="1"/>
        <v>156.80000000000001</v>
      </c>
      <c r="I228" s="262" t="e">
        <f t="shared" si="2"/>
        <v>#VALUE!</v>
      </c>
      <c r="J228" s="262" t="e">
        <f t="shared" si="5"/>
        <v>#VALUE!</v>
      </c>
      <c r="K228" s="262" t="e">
        <f t="shared" si="3"/>
        <v>#VALUE!</v>
      </c>
      <c r="L228" s="276" t="e">
        <f t="shared" si="6"/>
        <v>#VALUE!</v>
      </c>
      <c r="M228" s="114"/>
      <c r="N228" s="114"/>
    </row>
    <row r="229" spans="2:14" ht="16.7" customHeight="1" x14ac:dyDescent="0.2">
      <c r="B229" s="412" t="s">
        <v>491</v>
      </c>
      <c r="C229" s="262" t="s">
        <v>531</v>
      </c>
      <c r="D229" s="262" t="s">
        <v>539</v>
      </c>
      <c r="E229" s="262" t="s">
        <v>513</v>
      </c>
      <c r="F229" s="263">
        <f>$K$174</f>
        <v>123.16</v>
      </c>
      <c r="G229" s="263">
        <f t="shared" si="0"/>
        <v>1264</v>
      </c>
      <c r="H229" s="263">
        <f t="shared" si="1"/>
        <v>156.80000000000001</v>
      </c>
      <c r="I229" s="262" t="e">
        <f t="shared" si="2"/>
        <v>#VALUE!</v>
      </c>
      <c r="J229" s="262" t="e">
        <f t="shared" si="5"/>
        <v>#VALUE!</v>
      </c>
      <c r="K229" s="262" t="e">
        <f>+ABS(J229)+ABS(I229)</f>
        <v>#VALUE!</v>
      </c>
      <c r="L229" s="276" t="e">
        <f t="shared" si="6"/>
        <v>#VALUE!</v>
      </c>
      <c r="M229" s="114"/>
      <c r="N229" s="114"/>
    </row>
    <row r="230" spans="2:14" ht="16.7" customHeight="1" x14ac:dyDescent="0.2">
      <c r="B230" s="412" t="s">
        <v>491</v>
      </c>
      <c r="C230" s="262" t="s">
        <v>531</v>
      </c>
      <c r="D230" s="262" t="s">
        <v>538</v>
      </c>
      <c r="E230" s="262" t="s">
        <v>512</v>
      </c>
      <c r="F230" s="263">
        <f t="shared" si="4"/>
        <v>123.16</v>
      </c>
      <c r="G230" s="263">
        <f t="shared" si="0"/>
        <v>1264</v>
      </c>
      <c r="H230" s="263">
        <f t="shared" si="1"/>
        <v>156.80000000000001</v>
      </c>
      <c r="I230" s="262" t="e">
        <f t="shared" si="2"/>
        <v>#VALUE!</v>
      </c>
      <c r="J230" s="262" t="e">
        <f t="shared" si="5"/>
        <v>#VALUE!</v>
      </c>
      <c r="K230" s="262" t="e">
        <f t="shared" si="3"/>
        <v>#VALUE!</v>
      </c>
      <c r="L230" s="276" t="e">
        <f t="shared" si="6"/>
        <v>#VALUE!</v>
      </c>
      <c r="M230" s="114"/>
      <c r="N230" s="114"/>
    </row>
    <row r="231" spans="2:14" ht="16.7" customHeight="1" x14ac:dyDescent="0.2">
      <c r="B231" s="412" t="s">
        <v>491</v>
      </c>
      <c r="C231" s="262" t="s">
        <v>531</v>
      </c>
      <c r="D231" s="262" t="s">
        <v>537</v>
      </c>
      <c r="E231" s="262" t="s">
        <v>511</v>
      </c>
      <c r="F231" s="263">
        <f t="shared" si="4"/>
        <v>123.16</v>
      </c>
      <c r="G231" s="263">
        <f t="shared" si="0"/>
        <v>1264</v>
      </c>
      <c r="H231" s="263">
        <f t="shared" si="1"/>
        <v>156.80000000000001</v>
      </c>
      <c r="I231" s="262" t="e">
        <f t="shared" si="2"/>
        <v>#VALUE!</v>
      </c>
      <c r="J231" s="262" t="e">
        <f t="shared" si="5"/>
        <v>#VALUE!</v>
      </c>
      <c r="K231" s="262" t="e">
        <f t="shared" si="3"/>
        <v>#VALUE!</v>
      </c>
      <c r="L231" s="276" t="e">
        <f t="shared" si="6"/>
        <v>#VALUE!</v>
      </c>
      <c r="M231" s="114"/>
      <c r="N231" s="114"/>
    </row>
    <row r="232" spans="2:14" ht="16.7" customHeight="1" x14ac:dyDescent="0.2">
      <c r="B232" s="412" t="s">
        <v>492</v>
      </c>
      <c r="C232" s="262" t="s">
        <v>533</v>
      </c>
      <c r="D232" s="262" t="s">
        <v>546</v>
      </c>
      <c r="E232" s="262" t="s">
        <v>519</v>
      </c>
      <c r="F232" s="263">
        <f t="shared" si="4"/>
        <v>123.16</v>
      </c>
      <c r="G232" s="263">
        <f t="shared" ref="G232:G288" si="7">$H$174</f>
        <v>1264</v>
      </c>
      <c r="H232" s="263">
        <f t="shared" si="1"/>
        <v>156.80000000000001</v>
      </c>
      <c r="I232" s="262" t="e">
        <f t="shared" si="2"/>
        <v>#VALUE!</v>
      </c>
      <c r="J232" s="262" t="e">
        <f t="shared" si="5"/>
        <v>#VALUE!</v>
      </c>
      <c r="K232" s="262" t="e">
        <f t="shared" si="3"/>
        <v>#VALUE!</v>
      </c>
      <c r="L232" s="276" t="e">
        <f t="shared" si="6"/>
        <v>#VALUE!</v>
      </c>
      <c r="M232" s="114"/>
      <c r="N232" s="114"/>
    </row>
    <row r="233" spans="2:14" ht="16.7" customHeight="1" x14ac:dyDescent="0.2">
      <c r="B233" s="412" t="s">
        <v>492</v>
      </c>
      <c r="C233" s="262" t="s">
        <v>533</v>
      </c>
      <c r="D233" s="262" t="s">
        <v>547</v>
      </c>
      <c r="E233" s="262" t="s">
        <v>520</v>
      </c>
      <c r="F233" s="263">
        <f t="shared" si="4"/>
        <v>123.16</v>
      </c>
      <c r="G233" s="263">
        <f t="shared" si="7"/>
        <v>1264</v>
      </c>
      <c r="H233" s="263">
        <f t="shared" si="1"/>
        <v>156.80000000000001</v>
      </c>
      <c r="I233" s="262" t="e">
        <f t="shared" si="2"/>
        <v>#VALUE!</v>
      </c>
      <c r="J233" s="262" t="e">
        <f t="shared" si="5"/>
        <v>#VALUE!</v>
      </c>
      <c r="K233" s="262" t="e">
        <f t="shared" si="3"/>
        <v>#VALUE!</v>
      </c>
      <c r="L233" s="276" t="e">
        <f t="shared" si="6"/>
        <v>#VALUE!</v>
      </c>
      <c r="M233" s="114"/>
      <c r="N233" s="114"/>
    </row>
    <row r="234" spans="2:14" ht="16.7" customHeight="1" x14ac:dyDescent="0.2">
      <c r="B234" s="412" t="s">
        <v>492</v>
      </c>
      <c r="C234" s="262" t="s">
        <v>533</v>
      </c>
      <c r="D234" s="262" t="s">
        <v>548</v>
      </c>
      <c r="E234" s="262" t="s">
        <v>521</v>
      </c>
      <c r="F234" s="263">
        <f t="shared" si="4"/>
        <v>123.16</v>
      </c>
      <c r="G234" s="263">
        <f t="shared" si="7"/>
        <v>1264</v>
      </c>
      <c r="H234" s="263">
        <f t="shared" si="1"/>
        <v>156.80000000000001</v>
      </c>
      <c r="I234" s="262" t="e">
        <f t="shared" si="2"/>
        <v>#VALUE!</v>
      </c>
      <c r="J234" s="262" t="e">
        <f t="shared" si="5"/>
        <v>#VALUE!</v>
      </c>
      <c r="K234" s="262" t="e">
        <f t="shared" si="3"/>
        <v>#VALUE!</v>
      </c>
      <c r="L234" s="276" t="e">
        <f t="shared" si="6"/>
        <v>#VALUE!</v>
      </c>
      <c r="M234" s="114"/>
      <c r="N234" s="114"/>
    </row>
    <row r="235" spans="2:14" ht="16.7" customHeight="1" x14ac:dyDescent="0.2">
      <c r="B235" s="412" t="s">
        <v>493</v>
      </c>
      <c r="C235" s="262" t="s">
        <v>534</v>
      </c>
      <c r="D235" s="262" t="s">
        <v>549</v>
      </c>
      <c r="E235" s="262" t="s">
        <v>522</v>
      </c>
      <c r="F235" s="263">
        <f t="shared" si="4"/>
        <v>123.16</v>
      </c>
      <c r="G235" s="263">
        <f t="shared" si="7"/>
        <v>1264</v>
      </c>
      <c r="H235" s="263">
        <f t="shared" si="1"/>
        <v>156.80000000000001</v>
      </c>
      <c r="I235" s="262" t="e">
        <f t="shared" si="2"/>
        <v>#VALUE!</v>
      </c>
      <c r="J235" s="262" t="e">
        <f t="shared" si="5"/>
        <v>#VALUE!</v>
      </c>
      <c r="K235" s="262" t="e">
        <f t="shared" si="3"/>
        <v>#VALUE!</v>
      </c>
      <c r="L235" s="276" t="e">
        <f t="shared" si="6"/>
        <v>#VALUE!</v>
      </c>
      <c r="M235" s="114"/>
      <c r="N235" s="114"/>
    </row>
    <row r="236" spans="2:14" ht="16.7" customHeight="1" x14ac:dyDescent="0.2">
      <c r="B236" s="412" t="s">
        <v>493</v>
      </c>
      <c r="C236" s="262" t="s">
        <v>534</v>
      </c>
      <c r="D236" s="262" t="s">
        <v>550</v>
      </c>
      <c r="E236" s="262" t="s">
        <v>523</v>
      </c>
      <c r="F236" s="263">
        <f t="shared" si="4"/>
        <v>123.16</v>
      </c>
      <c r="G236" s="263">
        <f t="shared" si="7"/>
        <v>1264</v>
      </c>
      <c r="H236" s="263">
        <f t="shared" si="1"/>
        <v>156.80000000000001</v>
      </c>
      <c r="I236" s="262" t="e">
        <f t="shared" si="2"/>
        <v>#VALUE!</v>
      </c>
      <c r="J236" s="262" t="e">
        <f t="shared" si="5"/>
        <v>#VALUE!</v>
      </c>
      <c r="K236" s="262" t="e">
        <f t="shared" si="3"/>
        <v>#VALUE!</v>
      </c>
      <c r="L236" s="276" t="e">
        <f t="shared" si="6"/>
        <v>#VALUE!</v>
      </c>
      <c r="M236" s="114"/>
      <c r="N236" s="114"/>
    </row>
    <row r="237" spans="2:14" ht="16.7" customHeight="1" x14ac:dyDescent="0.2">
      <c r="B237" s="412" t="s">
        <v>493</v>
      </c>
      <c r="C237" s="262" t="s">
        <v>534</v>
      </c>
      <c r="D237" s="262" t="s">
        <v>549</v>
      </c>
      <c r="E237" s="262" t="s">
        <v>522</v>
      </c>
      <c r="F237" s="263">
        <f t="shared" si="4"/>
        <v>123.16</v>
      </c>
      <c r="G237" s="263">
        <f t="shared" si="7"/>
        <v>1264</v>
      </c>
      <c r="H237" s="263">
        <f t="shared" si="1"/>
        <v>156.80000000000001</v>
      </c>
      <c r="I237" s="262" t="e">
        <f t="shared" si="2"/>
        <v>#VALUE!</v>
      </c>
      <c r="J237" s="262" t="e">
        <f t="shared" si="5"/>
        <v>#VALUE!</v>
      </c>
      <c r="K237" s="262" t="e">
        <f t="shared" si="3"/>
        <v>#VALUE!</v>
      </c>
      <c r="L237" s="276" t="e">
        <f t="shared" si="6"/>
        <v>#VALUE!</v>
      </c>
      <c r="M237" s="114"/>
      <c r="N237" s="114"/>
    </row>
    <row r="238" spans="2:14" ht="16.7" customHeight="1" x14ac:dyDescent="0.2">
      <c r="B238" s="412" t="s">
        <v>494</v>
      </c>
      <c r="C238" s="262" t="s">
        <v>533</v>
      </c>
      <c r="D238" s="262" t="s">
        <v>548</v>
      </c>
      <c r="E238" s="262" t="s">
        <v>521</v>
      </c>
      <c r="F238" s="263">
        <f t="shared" si="4"/>
        <v>123.16</v>
      </c>
      <c r="G238" s="263">
        <f t="shared" si="7"/>
        <v>1264</v>
      </c>
      <c r="H238" s="263">
        <f t="shared" si="1"/>
        <v>156.80000000000001</v>
      </c>
      <c r="I238" s="262" t="e">
        <f t="shared" ref="I238:I268" si="8">+ABS(C238)/F238</f>
        <v>#VALUE!</v>
      </c>
      <c r="J238" s="262" t="e">
        <f t="shared" ref="J238:J272" si="9">+(ABS(D238)/G238+ABS(E238)/H238)*100</f>
        <v>#VALUE!</v>
      </c>
      <c r="K238" s="262" t="e">
        <f t="shared" ref="K238:K272" si="10">+ABS(J238)+ABS(I238)</f>
        <v>#VALUE!</v>
      </c>
      <c r="L238" s="276" t="e">
        <f t="shared" si="6"/>
        <v>#VALUE!</v>
      </c>
      <c r="M238" s="114"/>
      <c r="N238" s="114"/>
    </row>
    <row r="239" spans="2:14" ht="16.7" customHeight="1" x14ac:dyDescent="0.2">
      <c r="B239" s="412" t="s">
        <v>494</v>
      </c>
      <c r="C239" s="262" t="s">
        <v>533</v>
      </c>
      <c r="D239" s="262" t="s">
        <v>547</v>
      </c>
      <c r="E239" s="262" t="s">
        <v>520</v>
      </c>
      <c r="F239" s="263">
        <f t="shared" si="4"/>
        <v>123.16</v>
      </c>
      <c r="G239" s="263">
        <f t="shared" si="7"/>
        <v>1264</v>
      </c>
      <c r="H239" s="263">
        <f t="shared" si="1"/>
        <v>156.80000000000001</v>
      </c>
      <c r="I239" s="262" t="e">
        <f t="shared" si="8"/>
        <v>#VALUE!</v>
      </c>
      <c r="J239" s="262" t="e">
        <f t="shared" si="9"/>
        <v>#VALUE!</v>
      </c>
      <c r="K239" s="262" t="e">
        <f t="shared" si="10"/>
        <v>#VALUE!</v>
      </c>
      <c r="L239" s="276" t="e">
        <f t="shared" si="6"/>
        <v>#VALUE!</v>
      </c>
      <c r="M239" s="114"/>
      <c r="N239" s="114"/>
    </row>
    <row r="240" spans="2:14" ht="16.7" customHeight="1" x14ac:dyDescent="0.2">
      <c r="B240" s="412" t="s">
        <v>494</v>
      </c>
      <c r="C240" s="262" t="s">
        <v>533</v>
      </c>
      <c r="D240" s="262" t="s">
        <v>546</v>
      </c>
      <c r="E240" s="262" t="s">
        <v>519</v>
      </c>
      <c r="F240" s="263">
        <f t="shared" si="4"/>
        <v>123.16</v>
      </c>
      <c r="G240" s="263">
        <f t="shared" si="7"/>
        <v>1264</v>
      </c>
      <c r="H240" s="263">
        <f t="shared" si="1"/>
        <v>156.80000000000001</v>
      </c>
      <c r="I240" s="262" t="e">
        <f t="shared" si="8"/>
        <v>#VALUE!</v>
      </c>
      <c r="J240" s="262" t="e">
        <f t="shared" si="9"/>
        <v>#VALUE!</v>
      </c>
      <c r="K240" s="262" t="e">
        <f t="shared" si="10"/>
        <v>#VALUE!</v>
      </c>
      <c r="L240" s="276" t="e">
        <f t="shared" si="6"/>
        <v>#VALUE!</v>
      </c>
      <c r="M240" s="114"/>
      <c r="N240" s="114"/>
    </row>
    <row r="241" spans="2:14" ht="16.7" customHeight="1" x14ac:dyDescent="0.2">
      <c r="B241" s="412" t="s">
        <v>495</v>
      </c>
      <c r="C241" s="262" t="s">
        <v>531</v>
      </c>
      <c r="D241" s="262" t="s">
        <v>537</v>
      </c>
      <c r="E241" s="262" t="s">
        <v>511</v>
      </c>
      <c r="F241" s="263">
        <f t="shared" si="4"/>
        <v>123.16</v>
      </c>
      <c r="G241" s="263">
        <f t="shared" si="7"/>
        <v>1264</v>
      </c>
      <c r="H241" s="263">
        <f t="shared" si="1"/>
        <v>156.80000000000001</v>
      </c>
      <c r="I241" s="262" t="e">
        <f t="shared" si="8"/>
        <v>#VALUE!</v>
      </c>
      <c r="J241" s="262" t="e">
        <f t="shared" si="9"/>
        <v>#VALUE!</v>
      </c>
      <c r="K241" s="262" t="e">
        <f t="shared" si="10"/>
        <v>#VALUE!</v>
      </c>
      <c r="L241" s="276" t="e">
        <f t="shared" si="6"/>
        <v>#VALUE!</v>
      </c>
      <c r="M241" s="114"/>
      <c r="N241" s="114"/>
    </row>
    <row r="242" spans="2:14" ht="16.7" customHeight="1" x14ac:dyDescent="0.2">
      <c r="B242" s="412" t="s">
        <v>495</v>
      </c>
      <c r="C242" s="262" t="s">
        <v>531</v>
      </c>
      <c r="D242" s="262" t="s">
        <v>538</v>
      </c>
      <c r="E242" s="262" t="s">
        <v>512</v>
      </c>
      <c r="F242" s="263">
        <f t="shared" si="4"/>
        <v>123.16</v>
      </c>
      <c r="G242" s="263">
        <f t="shared" si="7"/>
        <v>1264</v>
      </c>
      <c r="H242" s="263">
        <f t="shared" si="1"/>
        <v>156.80000000000001</v>
      </c>
      <c r="I242" s="262" t="e">
        <f t="shared" si="8"/>
        <v>#VALUE!</v>
      </c>
      <c r="J242" s="262" t="e">
        <f t="shared" si="9"/>
        <v>#VALUE!</v>
      </c>
      <c r="K242" s="262" t="e">
        <f t="shared" si="10"/>
        <v>#VALUE!</v>
      </c>
      <c r="L242" s="276" t="e">
        <f t="shared" si="6"/>
        <v>#VALUE!</v>
      </c>
      <c r="M242" s="114"/>
      <c r="N242" s="114"/>
    </row>
    <row r="243" spans="2:14" ht="16.7" customHeight="1" x14ac:dyDescent="0.2">
      <c r="B243" s="412" t="s">
        <v>495</v>
      </c>
      <c r="C243" s="262" t="s">
        <v>531</v>
      </c>
      <c r="D243" s="262" t="s">
        <v>539</v>
      </c>
      <c r="E243" s="262" t="s">
        <v>513</v>
      </c>
      <c r="F243" s="263">
        <f t="shared" si="4"/>
        <v>123.16</v>
      </c>
      <c r="G243" s="263">
        <f t="shared" si="7"/>
        <v>1264</v>
      </c>
      <c r="H243" s="263">
        <f t="shared" si="1"/>
        <v>156.80000000000001</v>
      </c>
      <c r="I243" s="262" t="e">
        <f t="shared" si="8"/>
        <v>#VALUE!</v>
      </c>
      <c r="J243" s="262" t="e">
        <f t="shared" si="9"/>
        <v>#VALUE!</v>
      </c>
      <c r="K243" s="262" t="e">
        <f t="shared" si="10"/>
        <v>#VALUE!</v>
      </c>
      <c r="L243" s="276" t="e">
        <f t="shared" si="6"/>
        <v>#VALUE!</v>
      </c>
      <c r="M243" s="114"/>
      <c r="N243" s="114"/>
    </row>
    <row r="244" spans="2:14" ht="16.7" customHeight="1" x14ac:dyDescent="0.2">
      <c r="B244" s="412" t="s">
        <v>496</v>
      </c>
      <c r="C244" s="262" t="s">
        <v>532</v>
      </c>
      <c r="D244" s="262" t="s">
        <v>540</v>
      </c>
      <c r="E244" s="262" t="s">
        <v>514</v>
      </c>
      <c r="F244" s="263">
        <f t="shared" si="4"/>
        <v>123.16</v>
      </c>
      <c r="G244" s="263">
        <f t="shared" si="7"/>
        <v>1264</v>
      </c>
      <c r="H244" s="263">
        <f t="shared" si="1"/>
        <v>156.80000000000001</v>
      </c>
      <c r="I244" s="262" t="e">
        <f t="shared" si="8"/>
        <v>#VALUE!</v>
      </c>
      <c r="J244" s="262" t="e">
        <f t="shared" si="9"/>
        <v>#VALUE!</v>
      </c>
      <c r="K244" s="262" t="e">
        <f t="shared" si="10"/>
        <v>#VALUE!</v>
      </c>
      <c r="L244" s="276" t="e">
        <f t="shared" si="6"/>
        <v>#VALUE!</v>
      </c>
      <c r="M244" s="114"/>
      <c r="N244" s="114"/>
    </row>
    <row r="245" spans="2:14" ht="16.7" customHeight="1" x14ac:dyDescent="0.2">
      <c r="B245" s="412" t="s">
        <v>496</v>
      </c>
      <c r="C245" s="262" t="s">
        <v>532</v>
      </c>
      <c r="D245" s="262" t="s">
        <v>541</v>
      </c>
      <c r="E245" s="262" t="s">
        <v>515</v>
      </c>
      <c r="F245" s="263">
        <f t="shared" si="4"/>
        <v>123.16</v>
      </c>
      <c r="G245" s="263">
        <f t="shared" si="7"/>
        <v>1264</v>
      </c>
      <c r="H245" s="263">
        <f t="shared" si="1"/>
        <v>156.80000000000001</v>
      </c>
      <c r="I245" s="262" t="e">
        <f t="shared" si="8"/>
        <v>#VALUE!</v>
      </c>
      <c r="J245" s="262" t="e">
        <f t="shared" si="9"/>
        <v>#VALUE!</v>
      </c>
      <c r="K245" s="262" t="e">
        <f t="shared" si="10"/>
        <v>#VALUE!</v>
      </c>
      <c r="L245" s="276" t="e">
        <f t="shared" si="6"/>
        <v>#VALUE!</v>
      </c>
      <c r="M245" s="114"/>
      <c r="N245" s="114"/>
    </row>
    <row r="246" spans="2:14" ht="16.7" customHeight="1" x14ac:dyDescent="0.2">
      <c r="B246" s="412" t="s">
        <v>496</v>
      </c>
      <c r="C246" s="262" t="s">
        <v>532</v>
      </c>
      <c r="D246" s="262" t="s">
        <v>542</v>
      </c>
      <c r="E246" s="262" t="s">
        <v>516</v>
      </c>
      <c r="F246" s="263">
        <f t="shared" si="4"/>
        <v>123.16</v>
      </c>
      <c r="G246" s="263">
        <f t="shared" si="7"/>
        <v>1264</v>
      </c>
      <c r="H246" s="263">
        <f t="shared" si="1"/>
        <v>156.80000000000001</v>
      </c>
      <c r="I246" s="262" t="e">
        <f t="shared" si="8"/>
        <v>#VALUE!</v>
      </c>
      <c r="J246" s="262" t="e">
        <f t="shared" si="9"/>
        <v>#VALUE!</v>
      </c>
      <c r="K246" s="262" t="e">
        <f t="shared" si="10"/>
        <v>#VALUE!</v>
      </c>
      <c r="L246" s="276" t="e">
        <f t="shared" si="6"/>
        <v>#VALUE!</v>
      </c>
      <c r="M246" s="114"/>
      <c r="N246" s="114"/>
    </row>
    <row r="247" spans="2:14" ht="16.7" customHeight="1" x14ac:dyDescent="0.2">
      <c r="B247" s="412" t="s">
        <v>497</v>
      </c>
      <c r="C247" s="262" t="s">
        <v>532</v>
      </c>
      <c r="D247" s="262" t="s">
        <v>543</v>
      </c>
      <c r="E247" s="262" t="s">
        <v>516</v>
      </c>
      <c r="F247" s="263">
        <f t="shared" si="4"/>
        <v>123.16</v>
      </c>
      <c r="G247" s="263">
        <f t="shared" si="7"/>
        <v>1264</v>
      </c>
      <c r="H247" s="263">
        <f t="shared" si="1"/>
        <v>156.80000000000001</v>
      </c>
      <c r="I247" s="262" t="e">
        <f t="shared" si="8"/>
        <v>#VALUE!</v>
      </c>
      <c r="J247" s="262" t="e">
        <f t="shared" si="9"/>
        <v>#VALUE!</v>
      </c>
      <c r="K247" s="262" t="e">
        <f t="shared" si="10"/>
        <v>#VALUE!</v>
      </c>
      <c r="L247" s="276" t="e">
        <f t="shared" si="6"/>
        <v>#VALUE!</v>
      </c>
      <c r="M247" s="114"/>
      <c r="N247" s="114"/>
    </row>
    <row r="248" spans="2:14" ht="16.7" customHeight="1" x14ac:dyDescent="0.2">
      <c r="B248" s="412" t="s">
        <v>497</v>
      </c>
      <c r="C248" s="262" t="s">
        <v>532</v>
      </c>
      <c r="D248" s="262" t="s">
        <v>544</v>
      </c>
      <c r="E248" s="262" t="s">
        <v>517</v>
      </c>
      <c r="F248" s="263">
        <f t="shared" si="4"/>
        <v>123.16</v>
      </c>
      <c r="G248" s="263">
        <f t="shared" si="7"/>
        <v>1264</v>
      </c>
      <c r="H248" s="263">
        <f t="shared" si="1"/>
        <v>156.80000000000001</v>
      </c>
      <c r="I248" s="262" t="e">
        <f t="shared" si="8"/>
        <v>#VALUE!</v>
      </c>
      <c r="J248" s="262" t="e">
        <f t="shared" si="9"/>
        <v>#VALUE!</v>
      </c>
      <c r="K248" s="262" t="e">
        <f t="shared" si="10"/>
        <v>#VALUE!</v>
      </c>
      <c r="L248" s="276" t="e">
        <f t="shared" si="6"/>
        <v>#VALUE!</v>
      </c>
      <c r="M248" s="114"/>
      <c r="N248" s="114"/>
    </row>
    <row r="249" spans="2:14" ht="16.7" customHeight="1" x14ac:dyDescent="0.2">
      <c r="B249" s="412" t="s">
        <v>497</v>
      </c>
      <c r="C249" s="262" t="s">
        <v>532</v>
      </c>
      <c r="D249" s="262" t="s">
        <v>545</v>
      </c>
      <c r="E249" s="262" t="s">
        <v>518</v>
      </c>
      <c r="F249" s="263">
        <f t="shared" si="4"/>
        <v>123.16</v>
      </c>
      <c r="G249" s="263">
        <f t="shared" si="7"/>
        <v>1264</v>
      </c>
      <c r="H249" s="263">
        <f t="shared" si="1"/>
        <v>156.80000000000001</v>
      </c>
      <c r="I249" s="262" t="e">
        <f t="shared" si="8"/>
        <v>#VALUE!</v>
      </c>
      <c r="J249" s="262" t="e">
        <f t="shared" si="9"/>
        <v>#VALUE!</v>
      </c>
      <c r="K249" s="262" t="e">
        <f t="shared" si="10"/>
        <v>#VALUE!</v>
      </c>
      <c r="L249" s="276" t="e">
        <f t="shared" si="6"/>
        <v>#VALUE!</v>
      </c>
      <c r="M249" s="114"/>
      <c r="N249" s="114"/>
    </row>
    <row r="250" spans="2:14" ht="16.7" customHeight="1" x14ac:dyDescent="0.2">
      <c r="B250" s="412" t="s">
        <v>498</v>
      </c>
      <c r="C250" s="262" t="s">
        <v>532</v>
      </c>
      <c r="D250" s="262" t="s">
        <v>542</v>
      </c>
      <c r="E250" s="262" t="s">
        <v>516</v>
      </c>
      <c r="F250" s="263">
        <f t="shared" si="4"/>
        <v>123.16</v>
      </c>
      <c r="G250" s="263">
        <f t="shared" si="7"/>
        <v>1264</v>
      </c>
      <c r="H250" s="263">
        <f t="shared" si="1"/>
        <v>156.80000000000001</v>
      </c>
      <c r="I250" s="262" t="e">
        <f t="shared" si="8"/>
        <v>#VALUE!</v>
      </c>
      <c r="J250" s="262" t="e">
        <f t="shared" si="9"/>
        <v>#VALUE!</v>
      </c>
      <c r="K250" s="262" t="e">
        <f t="shared" si="10"/>
        <v>#VALUE!</v>
      </c>
      <c r="L250" s="276" t="e">
        <f t="shared" si="6"/>
        <v>#VALUE!</v>
      </c>
      <c r="M250" s="114"/>
      <c r="N250" s="114"/>
    </row>
    <row r="251" spans="2:14" ht="16.7" customHeight="1" x14ac:dyDescent="0.2">
      <c r="B251" s="412" t="s">
        <v>498</v>
      </c>
      <c r="C251" s="262" t="s">
        <v>532</v>
      </c>
      <c r="D251" s="262" t="s">
        <v>541</v>
      </c>
      <c r="E251" s="262" t="s">
        <v>515</v>
      </c>
      <c r="F251" s="263">
        <f t="shared" si="4"/>
        <v>123.16</v>
      </c>
      <c r="G251" s="263">
        <f t="shared" si="7"/>
        <v>1264</v>
      </c>
      <c r="H251" s="263">
        <f t="shared" si="1"/>
        <v>156.80000000000001</v>
      </c>
      <c r="I251" s="262" t="e">
        <f t="shared" si="8"/>
        <v>#VALUE!</v>
      </c>
      <c r="J251" s="262" t="e">
        <f t="shared" si="9"/>
        <v>#VALUE!</v>
      </c>
      <c r="K251" s="262" t="e">
        <f t="shared" si="10"/>
        <v>#VALUE!</v>
      </c>
      <c r="L251" s="276" t="e">
        <f t="shared" si="6"/>
        <v>#VALUE!</v>
      </c>
      <c r="M251" s="114"/>
      <c r="N251" s="114"/>
    </row>
    <row r="252" spans="2:14" ht="16.7" customHeight="1" x14ac:dyDescent="0.2">
      <c r="B252" s="412" t="s">
        <v>498</v>
      </c>
      <c r="C252" s="262" t="s">
        <v>532</v>
      </c>
      <c r="D252" s="262" t="s">
        <v>540</v>
      </c>
      <c r="E252" s="262" t="s">
        <v>514</v>
      </c>
      <c r="F252" s="263">
        <f t="shared" si="4"/>
        <v>123.16</v>
      </c>
      <c r="G252" s="263">
        <f t="shared" si="7"/>
        <v>1264</v>
      </c>
      <c r="H252" s="263">
        <f t="shared" si="1"/>
        <v>156.80000000000001</v>
      </c>
      <c r="I252" s="262" t="e">
        <f t="shared" si="8"/>
        <v>#VALUE!</v>
      </c>
      <c r="J252" s="262" t="e">
        <f t="shared" si="9"/>
        <v>#VALUE!</v>
      </c>
      <c r="K252" s="262" t="e">
        <f t="shared" si="10"/>
        <v>#VALUE!</v>
      </c>
      <c r="L252" s="276" t="e">
        <f t="shared" si="6"/>
        <v>#VALUE!</v>
      </c>
      <c r="M252" s="114"/>
      <c r="N252" s="114"/>
    </row>
    <row r="253" spans="2:14" ht="16.7" customHeight="1" x14ac:dyDescent="0.2">
      <c r="B253" s="412" t="s">
        <v>499</v>
      </c>
      <c r="C253" s="262" t="s">
        <v>531</v>
      </c>
      <c r="D253" s="262" t="s">
        <v>539</v>
      </c>
      <c r="E253" s="262" t="s">
        <v>513</v>
      </c>
      <c r="F253" s="263">
        <f t="shared" si="4"/>
        <v>123.16</v>
      </c>
      <c r="G253" s="263">
        <f t="shared" si="7"/>
        <v>1264</v>
      </c>
      <c r="H253" s="263">
        <f t="shared" si="1"/>
        <v>156.80000000000001</v>
      </c>
      <c r="I253" s="262" t="e">
        <f t="shared" si="8"/>
        <v>#VALUE!</v>
      </c>
      <c r="J253" s="262" t="e">
        <f t="shared" si="9"/>
        <v>#VALUE!</v>
      </c>
      <c r="K253" s="262" t="e">
        <f t="shared" si="10"/>
        <v>#VALUE!</v>
      </c>
      <c r="L253" s="276" t="e">
        <f t="shared" si="6"/>
        <v>#VALUE!</v>
      </c>
      <c r="M253" s="114"/>
      <c r="N253" s="114"/>
    </row>
    <row r="254" spans="2:14" ht="16.7" customHeight="1" x14ac:dyDescent="0.2">
      <c r="B254" s="412" t="s">
        <v>499</v>
      </c>
      <c r="C254" s="262" t="s">
        <v>531</v>
      </c>
      <c r="D254" s="262" t="s">
        <v>538</v>
      </c>
      <c r="E254" s="262" t="s">
        <v>512</v>
      </c>
      <c r="F254" s="263">
        <f t="shared" si="4"/>
        <v>123.16</v>
      </c>
      <c r="G254" s="263">
        <f t="shared" si="7"/>
        <v>1264</v>
      </c>
      <c r="H254" s="263">
        <f t="shared" si="1"/>
        <v>156.80000000000001</v>
      </c>
      <c r="I254" s="262" t="e">
        <f t="shared" si="8"/>
        <v>#VALUE!</v>
      </c>
      <c r="J254" s="262" t="e">
        <f t="shared" si="9"/>
        <v>#VALUE!</v>
      </c>
      <c r="K254" s="262" t="e">
        <f t="shared" si="10"/>
        <v>#VALUE!</v>
      </c>
      <c r="L254" s="276" t="e">
        <f t="shared" si="6"/>
        <v>#VALUE!</v>
      </c>
      <c r="M254" s="114"/>
      <c r="N254" s="114"/>
    </row>
    <row r="255" spans="2:14" ht="16.7" customHeight="1" x14ac:dyDescent="0.2">
      <c r="B255" s="412" t="s">
        <v>499</v>
      </c>
      <c r="C255" s="262" t="s">
        <v>531</v>
      </c>
      <c r="D255" s="262" t="s">
        <v>537</v>
      </c>
      <c r="E255" s="262" t="s">
        <v>511</v>
      </c>
      <c r="F255" s="263">
        <f t="shared" si="4"/>
        <v>123.16</v>
      </c>
      <c r="G255" s="263">
        <f t="shared" si="7"/>
        <v>1264</v>
      </c>
      <c r="H255" s="263">
        <f t="shared" si="1"/>
        <v>156.80000000000001</v>
      </c>
      <c r="I255" s="262" t="e">
        <f t="shared" si="8"/>
        <v>#VALUE!</v>
      </c>
      <c r="J255" s="262" t="e">
        <f t="shared" si="9"/>
        <v>#VALUE!</v>
      </c>
      <c r="K255" s="262" t="e">
        <f t="shared" si="10"/>
        <v>#VALUE!</v>
      </c>
      <c r="L255" s="276" t="e">
        <f t="shared" si="6"/>
        <v>#VALUE!</v>
      </c>
      <c r="M255" s="114"/>
      <c r="N255" s="114"/>
    </row>
    <row r="256" spans="2:14" ht="16.7" customHeight="1" x14ac:dyDescent="0.2">
      <c r="B256" s="412" t="s">
        <v>500</v>
      </c>
      <c r="C256" s="262" t="s">
        <v>533</v>
      </c>
      <c r="D256" s="262" t="s">
        <v>546</v>
      </c>
      <c r="E256" s="262" t="s">
        <v>519</v>
      </c>
      <c r="F256" s="263">
        <f t="shared" si="4"/>
        <v>123.16</v>
      </c>
      <c r="G256" s="263">
        <f t="shared" si="7"/>
        <v>1264</v>
      </c>
      <c r="H256" s="263">
        <f t="shared" si="1"/>
        <v>156.80000000000001</v>
      </c>
      <c r="I256" s="262" t="e">
        <f t="shared" si="8"/>
        <v>#VALUE!</v>
      </c>
      <c r="J256" s="262" t="e">
        <f t="shared" si="9"/>
        <v>#VALUE!</v>
      </c>
      <c r="K256" s="262" t="e">
        <f t="shared" si="10"/>
        <v>#VALUE!</v>
      </c>
      <c r="L256" s="276" t="e">
        <f t="shared" si="6"/>
        <v>#VALUE!</v>
      </c>
      <c r="M256" s="114"/>
      <c r="N256" s="114"/>
    </row>
    <row r="257" spans="2:14" ht="16.7" customHeight="1" x14ac:dyDescent="0.2">
      <c r="B257" s="412" t="s">
        <v>500</v>
      </c>
      <c r="C257" s="262" t="s">
        <v>533</v>
      </c>
      <c r="D257" s="262" t="s">
        <v>547</v>
      </c>
      <c r="E257" s="262" t="s">
        <v>520</v>
      </c>
      <c r="F257" s="263">
        <f t="shared" si="4"/>
        <v>123.16</v>
      </c>
      <c r="G257" s="263">
        <f t="shared" si="7"/>
        <v>1264</v>
      </c>
      <c r="H257" s="263">
        <f t="shared" si="1"/>
        <v>156.80000000000001</v>
      </c>
      <c r="I257" s="262" t="e">
        <f t="shared" si="8"/>
        <v>#VALUE!</v>
      </c>
      <c r="J257" s="262" t="e">
        <f t="shared" si="9"/>
        <v>#VALUE!</v>
      </c>
      <c r="K257" s="262" t="e">
        <f t="shared" si="10"/>
        <v>#VALUE!</v>
      </c>
      <c r="L257" s="276" t="e">
        <f t="shared" si="6"/>
        <v>#VALUE!</v>
      </c>
      <c r="M257" s="114"/>
      <c r="N257" s="114"/>
    </row>
    <row r="258" spans="2:14" ht="16.7" customHeight="1" x14ac:dyDescent="0.2">
      <c r="B258" s="412" t="s">
        <v>500</v>
      </c>
      <c r="C258" s="262" t="s">
        <v>533</v>
      </c>
      <c r="D258" s="262" t="s">
        <v>548</v>
      </c>
      <c r="E258" s="262" t="s">
        <v>521</v>
      </c>
      <c r="F258" s="263">
        <f t="shared" si="4"/>
        <v>123.16</v>
      </c>
      <c r="G258" s="263">
        <f t="shared" si="7"/>
        <v>1264</v>
      </c>
      <c r="H258" s="263">
        <f t="shared" si="1"/>
        <v>156.80000000000001</v>
      </c>
      <c r="I258" s="262" t="e">
        <f t="shared" si="8"/>
        <v>#VALUE!</v>
      </c>
      <c r="J258" s="262" t="e">
        <f t="shared" si="9"/>
        <v>#VALUE!</v>
      </c>
      <c r="K258" s="262" t="e">
        <f t="shared" si="10"/>
        <v>#VALUE!</v>
      </c>
      <c r="L258" s="276" t="e">
        <f t="shared" si="6"/>
        <v>#VALUE!</v>
      </c>
      <c r="M258" s="114"/>
      <c r="N258" s="114"/>
    </row>
    <row r="259" spans="2:14" ht="16.7" customHeight="1" x14ac:dyDescent="0.2">
      <c r="B259" s="412" t="s">
        <v>501</v>
      </c>
      <c r="C259" s="262" t="s">
        <v>534</v>
      </c>
      <c r="D259" s="262" t="s">
        <v>549</v>
      </c>
      <c r="E259" s="262" t="s">
        <v>522</v>
      </c>
      <c r="F259" s="263">
        <f t="shared" si="4"/>
        <v>123.16</v>
      </c>
      <c r="G259" s="263">
        <f t="shared" si="7"/>
        <v>1264</v>
      </c>
      <c r="H259" s="263">
        <f t="shared" si="1"/>
        <v>156.80000000000001</v>
      </c>
      <c r="I259" s="262" t="e">
        <f t="shared" si="8"/>
        <v>#VALUE!</v>
      </c>
      <c r="J259" s="262" t="e">
        <f t="shared" si="9"/>
        <v>#VALUE!</v>
      </c>
      <c r="K259" s="262" t="e">
        <f t="shared" si="10"/>
        <v>#VALUE!</v>
      </c>
      <c r="L259" s="276" t="e">
        <f t="shared" si="6"/>
        <v>#VALUE!</v>
      </c>
      <c r="M259" s="114"/>
      <c r="N259" s="114"/>
    </row>
    <row r="260" spans="2:14" ht="16.7" customHeight="1" x14ac:dyDescent="0.2">
      <c r="B260" s="412" t="s">
        <v>501</v>
      </c>
      <c r="C260" s="262" t="s">
        <v>534</v>
      </c>
      <c r="D260" s="262" t="s">
        <v>550</v>
      </c>
      <c r="E260" s="262" t="s">
        <v>523</v>
      </c>
      <c r="F260" s="263">
        <f t="shared" si="4"/>
        <v>123.16</v>
      </c>
      <c r="G260" s="263">
        <f t="shared" si="7"/>
        <v>1264</v>
      </c>
      <c r="H260" s="263">
        <f t="shared" si="1"/>
        <v>156.80000000000001</v>
      </c>
      <c r="I260" s="262" t="e">
        <f t="shared" si="8"/>
        <v>#VALUE!</v>
      </c>
      <c r="J260" s="262" t="e">
        <f t="shared" si="9"/>
        <v>#VALUE!</v>
      </c>
      <c r="K260" s="262" t="e">
        <f t="shared" si="10"/>
        <v>#VALUE!</v>
      </c>
      <c r="L260" s="276" t="e">
        <f t="shared" si="6"/>
        <v>#VALUE!</v>
      </c>
      <c r="M260" s="114"/>
      <c r="N260" s="114"/>
    </row>
    <row r="261" spans="2:14" ht="16.7" customHeight="1" x14ac:dyDescent="0.2">
      <c r="B261" s="412" t="s">
        <v>501</v>
      </c>
      <c r="C261" s="262" t="s">
        <v>534</v>
      </c>
      <c r="D261" s="262" t="s">
        <v>549</v>
      </c>
      <c r="E261" s="262" t="s">
        <v>522</v>
      </c>
      <c r="F261" s="263">
        <f t="shared" si="4"/>
        <v>123.16</v>
      </c>
      <c r="G261" s="263">
        <f t="shared" si="7"/>
        <v>1264</v>
      </c>
      <c r="H261" s="263">
        <f t="shared" si="1"/>
        <v>156.80000000000001</v>
      </c>
      <c r="I261" s="262" t="e">
        <f t="shared" si="8"/>
        <v>#VALUE!</v>
      </c>
      <c r="J261" s="262" t="e">
        <f t="shared" si="9"/>
        <v>#VALUE!</v>
      </c>
      <c r="K261" s="262" t="e">
        <f t="shared" si="10"/>
        <v>#VALUE!</v>
      </c>
      <c r="L261" s="276" t="e">
        <f t="shared" si="6"/>
        <v>#VALUE!</v>
      </c>
      <c r="M261" s="114"/>
      <c r="N261" s="114"/>
    </row>
    <row r="262" spans="2:14" ht="16.7" customHeight="1" x14ac:dyDescent="0.2">
      <c r="B262" s="412" t="s">
        <v>502</v>
      </c>
      <c r="C262" s="262" t="s">
        <v>533</v>
      </c>
      <c r="D262" s="262" t="s">
        <v>548</v>
      </c>
      <c r="E262" s="262" t="s">
        <v>521</v>
      </c>
      <c r="F262" s="263">
        <f t="shared" si="4"/>
        <v>123.16</v>
      </c>
      <c r="G262" s="263">
        <f t="shared" si="7"/>
        <v>1264</v>
      </c>
      <c r="H262" s="263">
        <f t="shared" si="1"/>
        <v>156.80000000000001</v>
      </c>
      <c r="I262" s="262" t="e">
        <f t="shared" si="8"/>
        <v>#VALUE!</v>
      </c>
      <c r="J262" s="262" t="e">
        <f t="shared" si="9"/>
        <v>#VALUE!</v>
      </c>
      <c r="K262" s="262" t="e">
        <f t="shared" si="10"/>
        <v>#VALUE!</v>
      </c>
      <c r="L262" s="276" t="e">
        <f t="shared" si="6"/>
        <v>#VALUE!</v>
      </c>
      <c r="M262" s="114"/>
      <c r="N262" s="114"/>
    </row>
    <row r="263" spans="2:14" ht="16.7" customHeight="1" x14ac:dyDescent="0.2">
      <c r="B263" s="412" t="s">
        <v>502</v>
      </c>
      <c r="C263" s="262" t="s">
        <v>533</v>
      </c>
      <c r="D263" s="262" t="s">
        <v>547</v>
      </c>
      <c r="E263" s="262" t="s">
        <v>520</v>
      </c>
      <c r="F263" s="263">
        <f t="shared" si="4"/>
        <v>123.16</v>
      </c>
      <c r="G263" s="263">
        <f t="shared" si="7"/>
        <v>1264</v>
      </c>
      <c r="H263" s="263">
        <f t="shared" si="1"/>
        <v>156.80000000000001</v>
      </c>
      <c r="I263" s="262" t="e">
        <f t="shared" si="8"/>
        <v>#VALUE!</v>
      </c>
      <c r="J263" s="262" t="e">
        <f t="shared" si="9"/>
        <v>#VALUE!</v>
      </c>
      <c r="K263" s="262" t="e">
        <f t="shared" si="10"/>
        <v>#VALUE!</v>
      </c>
      <c r="L263" s="276" t="e">
        <f t="shared" si="6"/>
        <v>#VALUE!</v>
      </c>
      <c r="M263" s="114"/>
      <c r="N263" s="114"/>
    </row>
    <row r="264" spans="2:14" ht="16.7" customHeight="1" x14ac:dyDescent="0.2">
      <c r="B264" s="412" t="s">
        <v>502</v>
      </c>
      <c r="C264" s="262" t="s">
        <v>533</v>
      </c>
      <c r="D264" s="262" t="s">
        <v>546</v>
      </c>
      <c r="E264" s="262" t="s">
        <v>519</v>
      </c>
      <c r="F264" s="263">
        <f t="shared" si="4"/>
        <v>123.16</v>
      </c>
      <c r="G264" s="263">
        <f t="shared" si="7"/>
        <v>1264</v>
      </c>
      <c r="H264" s="263">
        <f t="shared" si="1"/>
        <v>156.80000000000001</v>
      </c>
      <c r="I264" s="262" t="e">
        <f t="shared" si="8"/>
        <v>#VALUE!</v>
      </c>
      <c r="J264" s="262" t="e">
        <f t="shared" si="9"/>
        <v>#VALUE!</v>
      </c>
      <c r="K264" s="262" t="e">
        <f t="shared" si="10"/>
        <v>#VALUE!</v>
      </c>
      <c r="L264" s="276" t="e">
        <f t="shared" si="6"/>
        <v>#VALUE!</v>
      </c>
      <c r="M264" s="114"/>
      <c r="N264" s="114"/>
    </row>
    <row r="265" spans="2:14" ht="16.7" customHeight="1" x14ac:dyDescent="0.2">
      <c r="B265" s="412" t="s">
        <v>503</v>
      </c>
      <c r="C265" s="262" t="s">
        <v>535</v>
      </c>
      <c r="D265" s="262" t="s">
        <v>551</v>
      </c>
      <c r="E265" s="262" t="s">
        <v>524</v>
      </c>
      <c r="F265" s="263">
        <f t="shared" si="4"/>
        <v>123.16</v>
      </c>
      <c r="G265" s="263">
        <f t="shared" si="7"/>
        <v>1264</v>
      </c>
      <c r="H265" s="263">
        <f t="shared" si="1"/>
        <v>156.80000000000001</v>
      </c>
      <c r="I265" s="262" t="e">
        <f t="shared" si="8"/>
        <v>#VALUE!</v>
      </c>
      <c r="J265" s="262" t="e">
        <f t="shared" si="9"/>
        <v>#VALUE!</v>
      </c>
      <c r="K265" s="262" t="e">
        <f t="shared" si="10"/>
        <v>#VALUE!</v>
      </c>
      <c r="L265" s="276" t="e">
        <f t="shared" si="6"/>
        <v>#VALUE!</v>
      </c>
      <c r="M265" s="114"/>
      <c r="N265" s="114"/>
    </row>
    <row r="266" spans="2:14" ht="16.7" customHeight="1" x14ac:dyDescent="0.2">
      <c r="B266" s="412" t="s">
        <v>503</v>
      </c>
      <c r="C266" s="262" t="s">
        <v>535</v>
      </c>
      <c r="D266" s="262" t="s">
        <v>551</v>
      </c>
      <c r="E266" s="262" t="s">
        <v>525</v>
      </c>
      <c r="F266" s="263">
        <f t="shared" si="4"/>
        <v>123.16</v>
      </c>
      <c r="G266" s="263">
        <f t="shared" si="7"/>
        <v>1264</v>
      </c>
      <c r="H266" s="263">
        <f t="shared" si="1"/>
        <v>156.80000000000001</v>
      </c>
      <c r="I266" s="262" t="e">
        <f t="shared" si="8"/>
        <v>#VALUE!</v>
      </c>
      <c r="J266" s="262" t="e">
        <f t="shared" si="9"/>
        <v>#VALUE!</v>
      </c>
      <c r="K266" s="262" t="e">
        <f t="shared" si="10"/>
        <v>#VALUE!</v>
      </c>
      <c r="L266" s="276" t="e">
        <f t="shared" si="6"/>
        <v>#VALUE!</v>
      </c>
      <c r="M266" s="114"/>
      <c r="N266" s="114"/>
    </row>
    <row r="267" spans="2:14" ht="16.7" customHeight="1" x14ac:dyDescent="0.2">
      <c r="B267" s="412" t="s">
        <v>503</v>
      </c>
      <c r="C267" s="262" t="s">
        <v>535</v>
      </c>
      <c r="D267" s="262" t="s">
        <v>551</v>
      </c>
      <c r="E267" s="262" t="s">
        <v>524</v>
      </c>
      <c r="F267" s="263">
        <f t="shared" si="4"/>
        <v>123.16</v>
      </c>
      <c r="G267" s="263">
        <f t="shared" si="7"/>
        <v>1264</v>
      </c>
      <c r="H267" s="263">
        <f t="shared" si="1"/>
        <v>156.80000000000001</v>
      </c>
      <c r="I267" s="262" t="e">
        <f t="shared" si="8"/>
        <v>#VALUE!</v>
      </c>
      <c r="J267" s="262" t="e">
        <f t="shared" si="9"/>
        <v>#VALUE!</v>
      </c>
      <c r="K267" s="262" t="e">
        <f t="shared" si="10"/>
        <v>#VALUE!</v>
      </c>
      <c r="L267" s="276" t="e">
        <f t="shared" si="6"/>
        <v>#VALUE!</v>
      </c>
      <c r="M267" s="114"/>
      <c r="N267" s="114"/>
    </row>
    <row r="268" spans="2:14" ht="16.7" customHeight="1" x14ac:dyDescent="0.2">
      <c r="B268" s="412" t="s">
        <v>504</v>
      </c>
      <c r="C268" s="262" t="s">
        <v>536</v>
      </c>
      <c r="D268" s="262" t="s">
        <v>552</v>
      </c>
      <c r="E268" s="262" t="s">
        <v>526</v>
      </c>
      <c r="F268" s="263">
        <f t="shared" ref="F268:F273" si="11">$K$176</f>
        <v>61.58</v>
      </c>
      <c r="G268" s="263">
        <f t="shared" ref="G268:G273" si="12">$H$176</f>
        <v>632</v>
      </c>
      <c r="H268" s="263">
        <f t="shared" ref="H268:H273" si="13">$J$176</f>
        <v>78.400000000000006</v>
      </c>
      <c r="I268" s="262" t="e">
        <f t="shared" si="8"/>
        <v>#VALUE!</v>
      </c>
      <c r="J268" s="262" t="e">
        <f t="shared" si="9"/>
        <v>#VALUE!</v>
      </c>
      <c r="K268" s="262" t="e">
        <f t="shared" si="10"/>
        <v>#VALUE!</v>
      </c>
      <c r="L268" s="276" t="e">
        <f t="shared" si="6"/>
        <v>#VALUE!</v>
      </c>
      <c r="M268" s="114"/>
      <c r="N268" s="114"/>
    </row>
    <row r="269" spans="2:14" ht="16.7" customHeight="1" x14ac:dyDescent="0.2">
      <c r="B269" s="412" t="s">
        <v>504</v>
      </c>
      <c r="C269" s="262" t="s">
        <v>536</v>
      </c>
      <c r="D269" s="262" t="s">
        <v>553</v>
      </c>
      <c r="E269" s="262" t="s">
        <v>527</v>
      </c>
      <c r="F269" s="263">
        <f t="shared" si="11"/>
        <v>61.58</v>
      </c>
      <c r="G269" s="263">
        <f t="shared" si="12"/>
        <v>632</v>
      </c>
      <c r="H269" s="263">
        <f t="shared" si="13"/>
        <v>78.400000000000006</v>
      </c>
      <c r="I269" s="262" t="e">
        <f>+ABS(C269)/F269</f>
        <v>#VALUE!</v>
      </c>
      <c r="J269" s="262" t="e">
        <f t="shared" si="9"/>
        <v>#VALUE!</v>
      </c>
      <c r="K269" s="262" t="e">
        <f t="shared" si="10"/>
        <v>#VALUE!</v>
      </c>
      <c r="L269" s="276" t="e">
        <f t="shared" si="6"/>
        <v>#VALUE!</v>
      </c>
      <c r="M269" s="114"/>
      <c r="N269" s="114"/>
    </row>
    <row r="270" spans="2:14" ht="16.7" customHeight="1" x14ac:dyDescent="0.2">
      <c r="B270" s="412" t="s">
        <v>504</v>
      </c>
      <c r="C270" s="262" t="s">
        <v>536</v>
      </c>
      <c r="D270" s="262" t="s">
        <v>554</v>
      </c>
      <c r="E270" s="262" t="s">
        <v>528</v>
      </c>
      <c r="F270" s="263">
        <f t="shared" si="11"/>
        <v>61.58</v>
      </c>
      <c r="G270" s="263">
        <f t="shared" si="12"/>
        <v>632</v>
      </c>
      <c r="H270" s="263">
        <f t="shared" si="13"/>
        <v>78.400000000000006</v>
      </c>
      <c r="I270" s="262" t="e">
        <f>+ABS(C270)/F270</f>
        <v>#VALUE!</v>
      </c>
      <c r="J270" s="262" t="e">
        <f t="shared" si="9"/>
        <v>#VALUE!</v>
      </c>
      <c r="K270" s="262" t="e">
        <f t="shared" si="10"/>
        <v>#VALUE!</v>
      </c>
      <c r="L270" s="276" t="e">
        <f t="shared" si="6"/>
        <v>#VALUE!</v>
      </c>
      <c r="M270" s="114"/>
      <c r="N270" s="114"/>
    </row>
    <row r="271" spans="2:14" ht="16.7" customHeight="1" x14ac:dyDescent="0.2">
      <c r="B271" s="412" t="s">
        <v>505</v>
      </c>
      <c r="C271" s="262" t="s">
        <v>536</v>
      </c>
      <c r="D271" s="262" t="s">
        <v>555</v>
      </c>
      <c r="E271" s="262" t="s">
        <v>526</v>
      </c>
      <c r="F271" s="263">
        <f t="shared" si="11"/>
        <v>61.58</v>
      </c>
      <c r="G271" s="263">
        <f t="shared" si="12"/>
        <v>632</v>
      </c>
      <c r="H271" s="263">
        <f t="shared" si="13"/>
        <v>78.400000000000006</v>
      </c>
      <c r="I271" s="262" t="e">
        <f>+ABS(C271)/F271</f>
        <v>#VALUE!</v>
      </c>
      <c r="J271" s="262" t="e">
        <f t="shared" si="9"/>
        <v>#VALUE!</v>
      </c>
      <c r="K271" s="262" t="e">
        <f t="shared" si="10"/>
        <v>#VALUE!</v>
      </c>
      <c r="L271" s="276" t="e">
        <f t="shared" si="6"/>
        <v>#VALUE!</v>
      </c>
      <c r="M271" s="114"/>
      <c r="N271" s="114"/>
    </row>
    <row r="272" spans="2:14" ht="16.7" customHeight="1" x14ac:dyDescent="0.2">
      <c r="B272" s="412" t="s">
        <v>505</v>
      </c>
      <c r="C272" s="262" t="s">
        <v>536</v>
      </c>
      <c r="D272" s="262" t="s">
        <v>556</v>
      </c>
      <c r="E272" s="262" t="s">
        <v>527</v>
      </c>
      <c r="F272" s="263">
        <f t="shared" si="11"/>
        <v>61.58</v>
      </c>
      <c r="G272" s="263">
        <f t="shared" si="12"/>
        <v>632</v>
      </c>
      <c r="H272" s="263">
        <f t="shared" si="13"/>
        <v>78.400000000000006</v>
      </c>
      <c r="I272" s="262" t="e">
        <f>+ABS(C272)/F272</f>
        <v>#VALUE!</v>
      </c>
      <c r="J272" s="262" t="e">
        <f t="shared" si="9"/>
        <v>#VALUE!</v>
      </c>
      <c r="K272" s="262" t="e">
        <f t="shared" si="10"/>
        <v>#VALUE!</v>
      </c>
      <c r="L272" s="276" t="e">
        <f t="shared" si="6"/>
        <v>#VALUE!</v>
      </c>
      <c r="M272" s="114"/>
      <c r="N272" s="114"/>
    </row>
    <row r="273" spans="2:14" ht="16.7" customHeight="1" x14ac:dyDescent="0.2">
      <c r="B273" s="412" t="s">
        <v>505</v>
      </c>
      <c r="C273" s="262" t="s">
        <v>536</v>
      </c>
      <c r="D273" s="262" t="s">
        <v>557</v>
      </c>
      <c r="E273" s="262" t="s">
        <v>528</v>
      </c>
      <c r="F273" s="263">
        <f t="shared" si="11"/>
        <v>61.58</v>
      </c>
      <c r="G273" s="263">
        <f t="shared" si="12"/>
        <v>632</v>
      </c>
      <c r="H273" s="263">
        <f t="shared" si="13"/>
        <v>78.400000000000006</v>
      </c>
      <c r="I273" s="262" t="e">
        <f>+ABS(C273)/F273</f>
        <v>#VALUE!</v>
      </c>
      <c r="J273" s="262" t="e">
        <f t="shared" ref="J273:J288" si="14">+(ABS(D273)/G273+ABS(E273)/H273)*100</f>
        <v>#VALUE!</v>
      </c>
      <c r="K273" s="262" t="e">
        <f t="shared" ref="K273:K288" si="15">+ABS(J273)+ABS(I273)</f>
        <v>#VALUE!</v>
      </c>
      <c r="L273" s="276" t="e">
        <f t="shared" ref="L273:L288" si="16">IF(AND(ABS(K273)&lt;$D$13,ABS(J273)&lt;$D$14),"OK !", "Check??")</f>
        <v>#VALUE!</v>
      </c>
      <c r="M273" s="114"/>
      <c r="N273" s="114"/>
    </row>
    <row r="274" spans="2:14" ht="16.7" customHeight="1" x14ac:dyDescent="0.2">
      <c r="B274" s="412" t="s">
        <v>506</v>
      </c>
      <c r="C274" s="262" t="s">
        <v>535</v>
      </c>
      <c r="D274" s="262" t="s">
        <v>558</v>
      </c>
      <c r="E274" s="262" t="s">
        <v>524</v>
      </c>
      <c r="F274" s="263">
        <f t="shared" si="4"/>
        <v>123.16</v>
      </c>
      <c r="G274" s="263">
        <f t="shared" si="7"/>
        <v>1264</v>
      </c>
      <c r="H274" s="263">
        <f t="shared" si="1"/>
        <v>156.80000000000001</v>
      </c>
      <c r="I274" s="262" t="e">
        <f t="shared" ref="I274:I288" si="17">+ABS(C274)/F274</f>
        <v>#VALUE!</v>
      </c>
      <c r="J274" s="262" t="e">
        <f t="shared" si="14"/>
        <v>#VALUE!</v>
      </c>
      <c r="K274" s="262" t="e">
        <f t="shared" si="15"/>
        <v>#VALUE!</v>
      </c>
      <c r="L274" s="276" t="e">
        <f t="shared" si="16"/>
        <v>#VALUE!</v>
      </c>
      <c r="M274" s="114"/>
      <c r="N274" s="114"/>
    </row>
    <row r="275" spans="2:14" ht="16.7" customHeight="1" x14ac:dyDescent="0.2">
      <c r="B275" s="412" t="s">
        <v>506</v>
      </c>
      <c r="C275" s="262" t="s">
        <v>535</v>
      </c>
      <c r="D275" s="262" t="s">
        <v>558</v>
      </c>
      <c r="E275" s="262" t="s">
        <v>525</v>
      </c>
      <c r="F275" s="263">
        <f t="shared" si="4"/>
        <v>123.16</v>
      </c>
      <c r="G275" s="263">
        <f t="shared" si="7"/>
        <v>1264</v>
      </c>
      <c r="H275" s="263">
        <f t="shared" si="1"/>
        <v>156.80000000000001</v>
      </c>
      <c r="I275" s="262" t="e">
        <f t="shared" si="17"/>
        <v>#VALUE!</v>
      </c>
      <c r="J275" s="262" t="e">
        <f t="shared" si="14"/>
        <v>#VALUE!</v>
      </c>
      <c r="K275" s="262" t="e">
        <f t="shared" si="15"/>
        <v>#VALUE!</v>
      </c>
      <c r="L275" s="276" t="e">
        <f t="shared" si="16"/>
        <v>#VALUE!</v>
      </c>
      <c r="M275" s="114"/>
      <c r="N275" s="114"/>
    </row>
    <row r="276" spans="2:14" ht="16.7" customHeight="1" x14ac:dyDescent="0.2">
      <c r="B276" s="412" t="s">
        <v>506</v>
      </c>
      <c r="C276" s="262" t="s">
        <v>535</v>
      </c>
      <c r="D276" s="262" t="s">
        <v>558</v>
      </c>
      <c r="E276" s="262" t="s">
        <v>524</v>
      </c>
      <c r="F276" s="263">
        <f t="shared" si="4"/>
        <v>123.16</v>
      </c>
      <c r="G276" s="263">
        <f t="shared" si="7"/>
        <v>1264</v>
      </c>
      <c r="H276" s="263">
        <f t="shared" si="1"/>
        <v>156.80000000000001</v>
      </c>
      <c r="I276" s="262" t="e">
        <f t="shared" si="17"/>
        <v>#VALUE!</v>
      </c>
      <c r="J276" s="262" t="e">
        <f t="shared" si="14"/>
        <v>#VALUE!</v>
      </c>
      <c r="K276" s="262" t="e">
        <f t="shared" si="15"/>
        <v>#VALUE!</v>
      </c>
      <c r="L276" s="276" t="e">
        <f t="shared" si="16"/>
        <v>#VALUE!</v>
      </c>
      <c r="M276" s="114"/>
      <c r="N276" s="114"/>
    </row>
    <row r="277" spans="2:14" ht="16.7" customHeight="1" x14ac:dyDescent="0.2">
      <c r="B277" s="412" t="s">
        <v>507</v>
      </c>
      <c r="C277" s="262" t="s">
        <v>536</v>
      </c>
      <c r="D277" s="262" t="s">
        <v>555</v>
      </c>
      <c r="E277" s="262" t="s">
        <v>526</v>
      </c>
      <c r="F277" s="263">
        <f t="shared" ref="F277:F282" si="18">$K$176</f>
        <v>61.58</v>
      </c>
      <c r="G277" s="263">
        <f t="shared" ref="G277:G282" si="19">$H$176</f>
        <v>632</v>
      </c>
      <c r="H277" s="263">
        <f t="shared" ref="H277:H282" si="20">$J$176</f>
        <v>78.400000000000006</v>
      </c>
      <c r="I277" s="262" t="e">
        <f t="shared" si="17"/>
        <v>#VALUE!</v>
      </c>
      <c r="J277" s="262" t="e">
        <f t="shared" si="14"/>
        <v>#VALUE!</v>
      </c>
      <c r="K277" s="262" t="e">
        <f t="shared" si="15"/>
        <v>#VALUE!</v>
      </c>
      <c r="L277" s="276" t="e">
        <f t="shared" si="16"/>
        <v>#VALUE!</v>
      </c>
      <c r="M277" s="114"/>
      <c r="N277" s="114"/>
    </row>
    <row r="278" spans="2:14" ht="16.7" customHeight="1" x14ac:dyDescent="0.2">
      <c r="B278" s="412" t="s">
        <v>507</v>
      </c>
      <c r="C278" s="262" t="s">
        <v>536</v>
      </c>
      <c r="D278" s="262" t="s">
        <v>556</v>
      </c>
      <c r="E278" s="262" t="s">
        <v>527</v>
      </c>
      <c r="F278" s="263">
        <f t="shared" si="18"/>
        <v>61.58</v>
      </c>
      <c r="G278" s="263">
        <f t="shared" si="19"/>
        <v>632</v>
      </c>
      <c r="H278" s="263">
        <f t="shared" si="20"/>
        <v>78.400000000000006</v>
      </c>
      <c r="I278" s="262" t="e">
        <f t="shared" si="17"/>
        <v>#VALUE!</v>
      </c>
      <c r="J278" s="262" t="e">
        <f t="shared" si="14"/>
        <v>#VALUE!</v>
      </c>
      <c r="K278" s="262" t="e">
        <f t="shared" si="15"/>
        <v>#VALUE!</v>
      </c>
      <c r="L278" s="276" t="e">
        <f t="shared" si="16"/>
        <v>#VALUE!</v>
      </c>
      <c r="M278" s="114"/>
      <c r="N278" s="114"/>
    </row>
    <row r="279" spans="2:14" ht="16.7" customHeight="1" x14ac:dyDescent="0.2">
      <c r="B279" s="412" t="s">
        <v>507</v>
      </c>
      <c r="C279" s="262" t="s">
        <v>536</v>
      </c>
      <c r="D279" s="262" t="s">
        <v>557</v>
      </c>
      <c r="E279" s="262" t="s">
        <v>528</v>
      </c>
      <c r="F279" s="263">
        <f t="shared" si="18"/>
        <v>61.58</v>
      </c>
      <c r="G279" s="263">
        <f t="shared" si="19"/>
        <v>632</v>
      </c>
      <c r="H279" s="263">
        <f t="shared" si="20"/>
        <v>78.400000000000006</v>
      </c>
      <c r="I279" s="262" t="e">
        <f t="shared" si="17"/>
        <v>#VALUE!</v>
      </c>
      <c r="J279" s="262" t="e">
        <f t="shared" si="14"/>
        <v>#VALUE!</v>
      </c>
      <c r="K279" s="262" t="e">
        <f t="shared" si="15"/>
        <v>#VALUE!</v>
      </c>
      <c r="L279" s="276" t="e">
        <f t="shared" si="16"/>
        <v>#VALUE!</v>
      </c>
      <c r="M279" s="114"/>
      <c r="N279" s="114"/>
    </row>
    <row r="280" spans="2:14" ht="16.7" customHeight="1" x14ac:dyDescent="0.2">
      <c r="B280" s="412" t="s">
        <v>508</v>
      </c>
      <c r="C280" s="262" t="s">
        <v>536</v>
      </c>
      <c r="D280" s="262" t="s">
        <v>552</v>
      </c>
      <c r="E280" s="262" t="s">
        <v>526</v>
      </c>
      <c r="F280" s="263">
        <f t="shared" si="18"/>
        <v>61.58</v>
      </c>
      <c r="G280" s="263">
        <f t="shared" si="19"/>
        <v>632</v>
      </c>
      <c r="H280" s="263">
        <f t="shared" si="20"/>
        <v>78.400000000000006</v>
      </c>
      <c r="I280" s="262" t="e">
        <f t="shared" si="17"/>
        <v>#VALUE!</v>
      </c>
      <c r="J280" s="262" t="e">
        <f t="shared" si="14"/>
        <v>#VALUE!</v>
      </c>
      <c r="K280" s="262" t="e">
        <f t="shared" si="15"/>
        <v>#VALUE!</v>
      </c>
      <c r="L280" s="276" t="e">
        <f t="shared" si="16"/>
        <v>#VALUE!</v>
      </c>
      <c r="M280" s="114"/>
      <c r="N280" s="114"/>
    </row>
    <row r="281" spans="2:14" ht="16.7" customHeight="1" x14ac:dyDescent="0.2">
      <c r="B281" s="412" t="s">
        <v>508</v>
      </c>
      <c r="C281" s="262" t="s">
        <v>536</v>
      </c>
      <c r="D281" s="262" t="s">
        <v>553</v>
      </c>
      <c r="E281" s="262" t="s">
        <v>527</v>
      </c>
      <c r="F281" s="263">
        <f t="shared" si="18"/>
        <v>61.58</v>
      </c>
      <c r="G281" s="263">
        <f t="shared" si="19"/>
        <v>632</v>
      </c>
      <c r="H281" s="263">
        <f t="shared" si="20"/>
        <v>78.400000000000006</v>
      </c>
      <c r="I281" s="262" t="e">
        <f t="shared" si="17"/>
        <v>#VALUE!</v>
      </c>
      <c r="J281" s="262" t="e">
        <f t="shared" si="14"/>
        <v>#VALUE!</v>
      </c>
      <c r="K281" s="262" t="e">
        <f t="shared" si="15"/>
        <v>#VALUE!</v>
      </c>
      <c r="L281" s="276" t="e">
        <f t="shared" si="16"/>
        <v>#VALUE!</v>
      </c>
      <c r="M281" s="114"/>
      <c r="N281" s="114"/>
    </row>
    <row r="282" spans="2:14" ht="16.7" customHeight="1" x14ac:dyDescent="0.2">
      <c r="B282" s="412" t="s">
        <v>508</v>
      </c>
      <c r="C282" s="262" t="s">
        <v>536</v>
      </c>
      <c r="D282" s="262" t="s">
        <v>554</v>
      </c>
      <c r="E282" s="262" t="s">
        <v>528</v>
      </c>
      <c r="F282" s="263">
        <f t="shared" si="18"/>
        <v>61.58</v>
      </c>
      <c r="G282" s="263">
        <f t="shared" si="19"/>
        <v>632</v>
      </c>
      <c r="H282" s="263">
        <f t="shared" si="20"/>
        <v>78.400000000000006</v>
      </c>
      <c r="I282" s="262" t="e">
        <f t="shared" si="17"/>
        <v>#VALUE!</v>
      </c>
      <c r="J282" s="262" t="e">
        <f t="shared" si="14"/>
        <v>#VALUE!</v>
      </c>
      <c r="K282" s="262" t="e">
        <f t="shared" si="15"/>
        <v>#VALUE!</v>
      </c>
      <c r="L282" s="276" t="e">
        <f t="shared" si="16"/>
        <v>#VALUE!</v>
      </c>
      <c r="M282" s="114"/>
      <c r="N282" s="114"/>
    </row>
    <row r="283" spans="2:14" ht="16.7" customHeight="1" x14ac:dyDescent="0.2">
      <c r="B283" s="412" t="s">
        <v>509</v>
      </c>
      <c r="C283" s="262" t="s">
        <v>532</v>
      </c>
      <c r="D283" s="262" t="s">
        <v>545</v>
      </c>
      <c r="E283" s="262" t="s">
        <v>518</v>
      </c>
      <c r="F283" s="263">
        <f t="shared" ref="F283:F288" si="21">$K$174</f>
        <v>123.16</v>
      </c>
      <c r="G283" s="263">
        <f t="shared" si="7"/>
        <v>1264</v>
      </c>
      <c r="H283" s="263">
        <f t="shared" ref="H283:H288" si="22">$J$174</f>
        <v>156.80000000000001</v>
      </c>
      <c r="I283" s="262" t="e">
        <f t="shared" si="17"/>
        <v>#VALUE!</v>
      </c>
      <c r="J283" s="262" t="e">
        <f t="shared" si="14"/>
        <v>#VALUE!</v>
      </c>
      <c r="K283" s="262" t="e">
        <f t="shared" si="15"/>
        <v>#VALUE!</v>
      </c>
      <c r="L283" s="276" t="e">
        <f t="shared" si="16"/>
        <v>#VALUE!</v>
      </c>
      <c r="M283" s="114"/>
      <c r="N283" s="114"/>
    </row>
    <row r="284" spans="2:14" ht="16.7" customHeight="1" x14ac:dyDescent="0.2">
      <c r="B284" s="412" t="s">
        <v>509</v>
      </c>
      <c r="C284" s="262" t="s">
        <v>532</v>
      </c>
      <c r="D284" s="262" t="s">
        <v>544</v>
      </c>
      <c r="E284" s="262" t="s">
        <v>517</v>
      </c>
      <c r="F284" s="263">
        <f t="shared" si="21"/>
        <v>123.16</v>
      </c>
      <c r="G284" s="263">
        <f t="shared" si="7"/>
        <v>1264</v>
      </c>
      <c r="H284" s="263">
        <f t="shared" si="22"/>
        <v>156.80000000000001</v>
      </c>
      <c r="I284" s="262" t="e">
        <f t="shared" si="17"/>
        <v>#VALUE!</v>
      </c>
      <c r="J284" s="262" t="e">
        <f t="shared" si="14"/>
        <v>#VALUE!</v>
      </c>
      <c r="K284" s="262" t="e">
        <f t="shared" si="15"/>
        <v>#VALUE!</v>
      </c>
      <c r="L284" s="276" t="e">
        <f t="shared" si="16"/>
        <v>#VALUE!</v>
      </c>
      <c r="M284" s="114"/>
      <c r="N284" s="114"/>
    </row>
    <row r="285" spans="2:14" ht="16.7" customHeight="1" x14ac:dyDescent="0.2">
      <c r="B285" s="412" t="s">
        <v>509</v>
      </c>
      <c r="C285" s="262" t="s">
        <v>532</v>
      </c>
      <c r="D285" s="262" t="s">
        <v>543</v>
      </c>
      <c r="E285" s="262" t="s">
        <v>516</v>
      </c>
      <c r="F285" s="263">
        <f t="shared" si="21"/>
        <v>123.16</v>
      </c>
      <c r="G285" s="263">
        <f t="shared" si="7"/>
        <v>1264</v>
      </c>
      <c r="H285" s="263">
        <f t="shared" si="22"/>
        <v>156.80000000000001</v>
      </c>
      <c r="I285" s="262" t="e">
        <f t="shared" si="17"/>
        <v>#VALUE!</v>
      </c>
      <c r="J285" s="262" t="e">
        <f t="shared" si="14"/>
        <v>#VALUE!</v>
      </c>
      <c r="K285" s="262" t="e">
        <f t="shared" si="15"/>
        <v>#VALUE!</v>
      </c>
      <c r="L285" s="276" t="e">
        <f t="shared" si="16"/>
        <v>#VALUE!</v>
      </c>
      <c r="M285" s="114"/>
      <c r="N285" s="114"/>
    </row>
    <row r="286" spans="2:14" ht="16.7" customHeight="1" x14ac:dyDescent="0.2">
      <c r="B286" s="412" t="s">
        <v>510</v>
      </c>
      <c r="C286" s="262" t="s">
        <v>532</v>
      </c>
      <c r="D286" s="262" t="s">
        <v>545</v>
      </c>
      <c r="E286" s="262" t="s">
        <v>518</v>
      </c>
      <c r="F286" s="263">
        <f t="shared" si="21"/>
        <v>123.16</v>
      </c>
      <c r="G286" s="263">
        <f t="shared" si="7"/>
        <v>1264</v>
      </c>
      <c r="H286" s="263">
        <f t="shared" si="22"/>
        <v>156.80000000000001</v>
      </c>
      <c r="I286" s="262" t="e">
        <f t="shared" si="17"/>
        <v>#VALUE!</v>
      </c>
      <c r="J286" s="262" t="e">
        <f t="shared" si="14"/>
        <v>#VALUE!</v>
      </c>
      <c r="K286" s="262" t="e">
        <f t="shared" si="15"/>
        <v>#VALUE!</v>
      </c>
      <c r="L286" s="276" t="e">
        <f t="shared" si="16"/>
        <v>#VALUE!</v>
      </c>
      <c r="M286" s="114"/>
      <c r="N286" s="114"/>
    </row>
    <row r="287" spans="2:14" ht="16.7" customHeight="1" x14ac:dyDescent="0.2">
      <c r="B287" s="412" t="s">
        <v>510</v>
      </c>
      <c r="C287" s="262" t="s">
        <v>532</v>
      </c>
      <c r="D287" s="262" t="s">
        <v>544</v>
      </c>
      <c r="E287" s="262" t="s">
        <v>517</v>
      </c>
      <c r="F287" s="263">
        <f t="shared" si="21"/>
        <v>123.16</v>
      </c>
      <c r="G287" s="263">
        <f t="shared" si="7"/>
        <v>1264</v>
      </c>
      <c r="H287" s="263">
        <f t="shared" si="22"/>
        <v>156.80000000000001</v>
      </c>
      <c r="I287" s="262" t="e">
        <f t="shared" si="17"/>
        <v>#VALUE!</v>
      </c>
      <c r="J287" s="262" t="e">
        <f t="shared" si="14"/>
        <v>#VALUE!</v>
      </c>
      <c r="K287" s="262" t="e">
        <f t="shared" si="15"/>
        <v>#VALUE!</v>
      </c>
      <c r="L287" s="276" t="e">
        <f t="shared" si="16"/>
        <v>#VALUE!</v>
      </c>
      <c r="M287" s="114"/>
      <c r="N287" s="114"/>
    </row>
    <row r="288" spans="2:14" ht="16.7" customHeight="1" thickBot="1" x14ac:dyDescent="0.25">
      <c r="B288" s="413" t="s">
        <v>510</v>
      </c>
      <c r="C288" s="388" t="s">
        <v>532</v>
      </c>
      <c r="D288" s="388" t="s">
        <v>543</v>
      </c>
      <c r="E288" s="388" t="s">
        <v>516</v>
      </c>
      <c r="F288" s="265">
        <f t="shared" si="21"/>
        <v>123.16</v>
      </c>
      <c r="G288" s="265">
        <f t="shared" si="7"/>
        <v>1264</v>
      </c>
      <c r="H288" s="265">
        <f t="shared" si="22"/>
        <v>156.80000000000001</v>
      </c>
      <c r="I288" s="388" t="e">
        <f t="shared" si="17"/>
        <v>#VALUE!</v>
      </c>
      <c r="J288" s="388" t="e">
        <f t="shared" si="14"/>
        <v>#VALUE!</v>
      </c>
      <c r="K288" s="388" t="e">
        <f t="shared" si="15"/>
        <v>#VALUE!</v>
      </c>
      <c r="L288" s="414" t="e">
        <f t="shared" si="16"/>
        <v>#VALUE!</v>
      </c>
      <c r="M288" s="114"/>
      <c r="N288" s="114"/>
    </row>
    <row r="289" spans="1:14" ht="16.7" customHeight="1" x14ac:dyDescent="0.2">
      <c r="B289" s="210"/>
      <c r="C289" s="210"/>
      <c r="D289" s="210"/>
      <c r="E289" s="210"/>
      <c r="F289" s="176"/>
      <c r="G289" s="176"/>
      <c r="H289" s="176"/>
      <c r="I289" s="210"/>
      <c r="J289" s="210"/>
      <c r="K289" s="210"/>
      <c r="L289" s="290"/>
      <c r="M289" s="114"/>
      <c r="N289" s="114"/>
    </row>
    <row r="290" spans="1:14" ht="10.5" customHeight="1" x14ac:dyDescent="0.2">
      <c r="A290" s="114"/>
      <c r="B290" s="114"/>
      <c r="C290" s="232"/>
      <c r="D290" s="199"/>
      <c r="E290" s="199"/>
      <c r="F290" s="199"/>
      <c r="G290" s="215"/>
      <c r="H290" s="215"/>
      <c r="I290" s="233"/>
      <c r="J290" s="234"/>
      <c r="K290" s="212"/>
      <c r="L290" s="114"/>
      <c r="M290" s="114"/>
      <c r="N290" s="114"/>
    </row>
    <row r="291" spans="1:14" ht="15" x14ac:dyDescent="0.2">
      <c r="A291" s="281" t="s">
        <v>179</v>
      </c>
    </row>
    <row r="292" spans="1:14" ht="15" x14ac:dyDescent="0.2">
      <c r="A292" s="281" t="s">
        <v>208</v>
      </c>
    </row>
    <row r="293" spans="1:14" x14ac:dyDescent="0.2">
      <c r="A293" s="112" t="s">
        <v>343</v>
      </c>
    </row>
    <row r="310" spans="1:17" x14ac:dyDescent="0.2">
      <c r="A310" s="114"/>
    </row>
    <row r="318" spans="1:17" x14ac:dyDescent="0.2">
      <c r="A318" s="112" t="s">
        <v>403</v>
      </c>
      <c r="H318" s="115" t="s">
        <v>259</v>
      </c>
      <c r="I318" s="115" t="s">
        <v>404</v>
      </c>
      <c r="J318" s="277">
        <f>I61-0.3-0.5</f>
        <v>2</v>
      </c>
      <c r="K318" s="115" t="s">
        <v>13</v>
      </c>
      <c r="P318" s="166">
        <f>I52-CĐ2</f>
        <v>0.5</v>
      </c>
    </row>
    <row r="319" spans="1:17" ht="15" thickBot="1" x14ac:dyDescent="0.25"/>
    <row r="320" spans="1:17" ht="15" x14ac:dyDescent="0.2">
      <c r="A320" s="284" t="s">
        <v>189</v>
      </c>
      <c r="B320" s="157"/>
      <c r="C320" s="157"/>
      <c r="D320" s="157"/>
      <c r="E320" s="157"/>
      <c r="F320" s="255" t="s">
        <v>53</v>
      </c>
      <c r="G320" s="256"/>
      <c r="H320" s="393"/>
      <c r="I320" s="415" t="s">
        <v>137</v>
      </c>
      <c r="J320" s="416"/>
      <c r="K320" s="416"/>
      <c r="L320" s="417" t="s">
        <v>138</v>
      </c>
      <c r="M320" s="418"/>
      <c r="P320" s="166">
        <f>+I57-I62</f>
        <v>-0.75999999999999979</v>
      </c>
      <c r="Q320" s="166">
        <f>+P320+P318</f>
        <v>-0.25999999999999979</v>
      </c>
    </row>
    <row r="321" spans="1:16" ht="17.25" customHeight="1" x14ac:dyDescent="0.2">
      <c r="A321" s="112" t="s">
        <v>136</v>
      </c>
      <c r="C321" s="157"/>
      <c r="D321" s="181"/>
      <c r="E321" s="157"/>
      <c r="F321" s="394" t="s">
        <v>350</v>
      </c>
      <c r="G321" s="391"/>
      <c r="H321" s="392"/>
      <c r="I321" s="193"/>
      <c r="J321" s="219">
        <f>I19*(I57-I58)*J19*M10</f>
        <v>0.62307010196172286</v>
      </c>
      <c r="K321" s="220"/>
      <c r="L321" s="221"/>
      <c r="M321" s="360">
        <f>+J321*$M$10</f>
        <v>0.74768412235406745</v>
      </c>
    </row>
    <row r="322" spans="1:16" ht="18" thickBot="1" x14ac:dyDescent="0.25">
      <c r="A322" s="112" t="s">
        <v>458</v>
      </c>
      <c r="C322" s="157"/>
      <c r="D322" s="181"/>
      <c r="E322" s="172"/>
      <c r="F322" s="395" t="s">
        <v>559</v>
      </c>
      <c r="G322" s="396"/>
      <c r="H322" s="397"/>
      <c r="I322" s="186"/>
      <c r="J322" s="195">
        <f>I21*(I58-J318)*J21*M10</f>
        <v>0.56591792108596151</v>
      </c>
      <c r="K322" s="222"/>
      <c r="L322" s="223"/>
      <c r="M322" s="224">
        <f>+J322*$M$10</f>
        <v>0.67910150530315383</v>
      </c>
      <c r="P322" s="166">
        <f>+M322+M321</f>
        <v>1.4267856276572213</v>
      </c>
    </row>
    <row r="323" spans="1:16" ht="15" thickBot="1" x14ac:dyDescent="0.25">
      <c r="C323" s="157"/>
      <c r="H323" s="188"/>
      <c r="I323" s="197"/>
      <c r="J323" s="197"/>
      <c r="K323" s="225"/>
      <c r="L323" s="201"/>
      <c r="M323" s="226"/>
    </row>
    <row r="324" spans="1:16" ht="19.5" thickBot="1" x14ac:dyDescent="0.25">
      <c r="A324" s="117" t="s">
        <v>183</v>
      </c>
      <c r="C324" s="170"/>
      <c r="D324" s="171"/>
      <c r="F324" s="420" t="s">
        <v>586</v>
      </c>
      <c r="G324" s="421"/>
      <c r="H324" s="422"/>
      <c r="I324" s="227"/>
      <c r="J324" s="228">
        <f>1*(I62-J318)</f>
        <v>2.76</v>
      </c>
      <c r="K324" s="229"/>
      <c r="L324" s="419"/>
      <c r="M324" s="291">
        <f>+J324*M13</f>
        <v>2.76</v>
      </c>
    </row>
    <row r="325" spans="1:16" x14ac:dyDescent="0.2">
      <c r="A325" s="112" t="s">
        <v>560</v>
      </c>
      <c r="C325" s="170"/>
      <c r="D325" s="171"/>
      <c r="E325" s="171"/>
      <c r="F325" s="172"/>
      <c r="G325" s="173"/>
      <c r="H325" s="172"/>
      <c r="I325" s="174"/>
      <c r="J325" s="174"/>
      <c r="K325" s="176"/>
      <c r="L325" s="201"/>
      <c r="M325" s="226"/>
    </row>
    <row r="326" spans="1:16" x14ac:dyDescent="0.2">
      <c r="C326" s="170"/>
      <c r="D326" s="171"/>
      <c r="E326" s="171"/>
      <c r="F326" s="172"/>
      <c r="G326" s="173"/>
      <c r="H326" s="172"/>
      <c r="I326" s="174"/>
      <c r="J326" s="174"/>
      <c r="K326" s="176"/>
      <c r="L326" s="201"/>
      <c r="M326" s="226"/>
    </row>
    <row r="327" spans="1:16" ht="15" thickBot="1" x14ac:dyDescent="0.25">
      <c r="C327" s="170"/>
      <c r="D327" s="171"/>
      <c r="E327" s="171"/>
      <c r="F327" s="172"/>
      <c r="G327" s="173"/>
      <c r="H327" s="172"/>
      <c r="I327" s="174"/>
      <c r="J327" s="174"/>
      <c r="K327" s="176"/>
      <c r="L327" s="201"/>
      <c r="M327" s="226"/>
    </row>
    <row r="328" spans="1:16" x14ac:dyDescent="0.2">
      <c r="C328" s="170"/>
      <c r="D328" s="157" t="s">
        <v>561</v>
      </c>
      <c r="G328" s="114"/>
      <c r="H328" s="182" t="s">
        <v>113</v>
      </c>
      <c r="I328" s="297">
        <f>I57-I58</f>
        <v>1.1000000000000001</v>
      </c>
      <c r="J328" s="292" t="s">
        <v>9</v>
      </c>
      <c r="K328" s="176"/>
      <c r="L328" s="201"/>
      <c r="M328" s="226"/>
    </row>
    <row r="329" spans="1:16" x14ac:dyDescent="0.2">
      <c r="C329" s="170"/>
      <c r="D329" s="157" t="s">
        <v>562</v>
      </c>
      <c r="E329" s="114"/>
      <c r="F329" s="114"/>
      <c r="G329" s="114"/>
      <c r="H329" s="192" t="s">
        <v>114</v>
      </c>
      <c r="I329" s="298">
        <f>I58-J318</f>
        <v>0.89999999999999991</v>
      </c>
      <c r="J329" s="293" t="s">
        <v>9</v>
      </c>
      <c r="K329" s="176"/>
      <c r="L329" s="201"/>
      <c r="M329" s="226"/>
    </row>
    <row r="330" spans="1:16" ht="15" thickBot="1" x14ac:dyDescent="0.25">
      <c r="C330" s="170"/>
      <c r="D330" s="171" t="s">
        <v>405</v>
      </c>
      <c r="E330" s="171"/>
      <c r="F330" s="172"/>
      <c r="G330" s="173"/>
      <c r="H330" s="294" t="s">
        <v>20</v>
      </c>
      <c r="I330" s="295">
        <f>CĐ2-J318</f>
        <v>2.76</v>
      </c>
      <c r="J330" s="296" t="s">
        <v>9</v>
      </c>
      <c r="K330" s="176"/>
      <c r="L330" s="201"/>
      <c r="M330" s="226"/>
    </row>
    <row r="331" spans="1:16" x14ac:dyDescent="0.2">
      <c r="C331" s="170"/>
      <c r="D331" s="171"/>
      <c r="E331" s="171"/>
      <c r="F331" s="172"/>
      <c r="G331" s="173"/>
      <c r="H331" s="172"/>
      <c r="I331" s="174"/>
      <c r="J331" s="174"/>
      <c r="K331" s="176"/>
      <c r="L331" s="201"/>
      <c r="M331" s="226"/>
    </row>
    <row r="332" spans="1:16" x14ac:dyDescent="0.2">
      <c r="C332" s="170"/>
      <c r="D332" s="171"/>
      <c r="E332" s="171"/>
      <c r="F332" s="172"/>
      <c r="G332" s="173"/>
      <c r="H332" s="172"/>
      <c r="I332" s="174"/>
      <c r="J332" s="174"/>
      <c r="K332" s="176"/>
      <c r="L332" s="201"/>
      <c r="M332" s="226"/>
    </row>
    <row r="333" spans="1:16" x14ac:dyDescent="0.2">
      <c r="C333" s="170"/>
      <c r="D333" s="171"/>
      <c r="E333" s="171"/>
      <c r="F333" s="172"/>
      <c r="G333" s="173"/>
      <c r="H333" s="172"/>
      <c r="I333" s="174"/>
      <c r="J333" s="174"/>
      <c r="K333" s="176"/>
      <c r="L333" s="201"/>
      <c r="M333" s="226"/>
    </row>
    <row r="334" spans="1:16" ht="15" x14ac:dyDescent="0.2">
      <c r="A334" s="284" t="s">
        <v>241</v>
      </c>
    </row>
    <row r="335" spans="1:16" ht="15" x14ac:dyDescent="0.2">
      <c r="A335" s="239" t="s">
        <v>529</v>
      </c>
      <c r="B335" s="239"/>
      <c r="C335" s="239"/>
      <c r="D335" s="217" t="s">
        <v>563</v>
      </c>
      <c r="F335" s="240"/>
    </row>
    <row r="336" spans="1:16" ht="15" x14ac:dyDescent="0.2">
      <c r="A336" s="239" t="s">
        <v>185</v>
      </c>
      <c r="B336" s="239"/>
      <c r="C336" s="239"/>
      <c r="D336" s="217" t="s">
        <v>186</v>
      </c>
      <c r="F336" s="240"/>
    </row>
    <row r="339" spans="7:14" ht="15" thickBot="1" x14ac:dyDescent="0.25"/>
    <row r="340" spans="7:14" ht="18.75" x14ac:dyDescent="0.2">
      <c r="G340" s="241" t="s">
        <v>140</v>
      </c>
      <c r="H340" s="242" t="s">
        <v>176</v>
      </c>
      <c r="I340" s="243" t="s">
        <v>141</v>
      </c>
      <c r="J340" s="242" t="s">
        <v>177</v>
      </c>
      <c r="K340" s="243" t="s">
        <v>178</v>
      </c>
      <c r="L340" s="244" t="s">
        <v>142</v>
      </c>
      <c r="M340" s="243" t="s">
        <v>143</v>
      </c>
      <c r="N340" s="245" t="s">
        <v>144</v>
      </c>
    </row>
    <row r="341" spans="7:14" x14ac:dyDescent="0.2">
      <c r="G341" s="246" t="s">
        <v>145</v>
      </c>
      <c r="H341" s="231" t="s">
        <v>146</v>
      </c>
      <c r="I341" s="209" t="s">
        <v>147</v>
      </c>
      <c r="J341" s="231" t="s">
        <v>146</v>
      </c>
      <c r="K341" s="209" t="s">
        <v>148</v>
      </c>
      <c r="L341" s="209" t="s">
        <v>149</v>
      </c>
      <c r="M341" s="209" t="s">
        <v>149</v>
      </c>
      <c r="N341" s="235"/>
    </row>
    <row r="342" spans="7:14" ht="15.75" thickBot="1" x14ac:dyDescent="0.25">
      <c r="G342" s="247" t="s">
        <v>150</v>
      </c>
      <c r="H342" s="248">
        <v>2202</v>
      </c>
      <c r="I342" s="249">
        <v>0.8</v>
      </c>
      <c r="J342" s="250">
        <f>H342*I342</f>
        <v>1761.6000000000001</v>
      </c>
      <c r="K342" s="238">
        <v>485.4</v>
      </c>
      <c r="L342" s="251">
        <f>K342*10^2/J342</f>
        <v>27.554495912806537</v>
      </c>
      <c r="M342" s="252">
        <f>D14</f>
        <v>2000</v>
      </c>
      <c r="N342" s="253" t="str">
        <f>IF(L342&lt;M342,"OK!","Checked!")</f>
        <v>OK!</v>
      </c>
    </row>
    <row r="345" spans="7:14" x14ac:dyDescent="0.2">
      <c r="H345" s="171"/>
      <c r="I345" s="171"/>
      <c r="J345" s="171"/>
      <c r="K345" s="171"/>
      <c r="L345" s="171"/>
      <c r="M345" s="171"/>
      <c r="N345" s="171"/>
    </row>
    <row r="346" spans="7:14" ht="14.25" customHeight="1" x14ac:dyDescent="0.2">
      <c r="H346" s="170"/>
      <c r="I346" s="465"/>
      <c r="J346" s="465"/>
      <c r="K346" s="465"/>
      <c r="L346" s="473"/>
      <c r="M346" s="473"/>
      <c r="N346" s="473"/>
    </row>
    <row r="347" spans="7:14" ht="15" thickBot="1" x14ac:dyDescent="0.25">
      <c r="H347" s="199"/>
      <c r="I347" s="140"/>
      <c r="J347" s="140"/>
      <c r="K347" s="199"/>
      <c r="L347" s="140"/>
      <c r="M347" s="140"/>
      <c r="N347" s="199"/>
    </row>
    <row r="348" spans="7:14" x14ac:dyDescent="0.2">
      <c r="H348" s="199"/>
      <c r="I348" s="218" t="s">
        <v>53</v>
      </c>
      <c r="J348" s="448" t="s">
        <v>197</v>
      </c>
      <c r="K348" s="449"/>
      <c r="L348" s="199"/>
      <c r="M348" s="199"/>
      <c r="N348" s="199"/>
    </row>
    <row r="349" spans="7:14" x14ac:dyDescent="0.2">
      <c r="H349" s="199"/>
      <c r="I349" s="236" t="s">
        <v>187</v>
      </c>
      <c r="J349" s="300">
        <v>416.7</v>
      </c>
      <c r="K349" s="288" t="s">
        <v>406</v>
      </c>
      <c r="L349" s="299"/>
      <c r="M349" s="215"/>
      <c r="N349" s="286"/>
    </row>
    <row r="350" spans="7:14" ht="15" thickBot="1" x14ac:dyDescent="0.25">
      <c r="H350" s="199"/>
      <c r="I350" s="237" t="s">
        <v>188</v>
      </c>
      <c r="J350" s="301">
        <v>963.3</v>
      </c>
      <c r="K350" s="289" t="s">
        <v>406</v>
      </c>
      <c r="L350" s="299"/>
      <c r="M350" s="215"/>
      <c r="N350" s="286"/>
    </row>
    <row r="351" spans="7:14" x14ac:dyDescent="0.2">
      <c r="H351" s="199"/>
      <c r="L351" s="299"/>
      <c r="M351" s="215"/>
      <c r="N351" s="286"/>
    </row>
    <row r="355" spans="1:19" ht="18" customHeight="1" x14ac:dyDescent="0.2">
      <c r="A355" s="284" t="s">
        <v>407</v>
      </c>
    </row>
    <row r="356" spans="1:19" ht="15" x14ac:dyDescent="0.2">
      <c r="B356" s="269"/>
      <c r="C356" s="113" t="s">
        <v>247</v>
      </c>
      <c r="J356" s="113" t="s">
        <v>248</v>
      </c>
      <c r="Q356" s="112" t="s">
        <v>227</v>
      </c>
    </row>
    <row r="357" spans="1:19" x14ac:dyDescent="0.2">
      <c r="B357" s="199"/>
      <c r="C357" s="170"/>
      <c r="Q357" s="112" t="s">
        <v>228</v>
      </c>
      <c r="R357" s="112" t="s">
        <v>229</v>
      </c>
      <c r="S357" s="112" t="s">
        <v>230</v>
      </c>
    </row>
    <row r="358" spans="1:19" x14ac:dyDescent="0.2">
      <c r="B358" s="199"/>
      <c r="C358" s="171"/>
      <c r="P358" s="264" t="s">
        <v>193</v>
      </c>
      <c r="Q358" s="166">
        <f>+J380*P359</f>
        <v>1227.65888</v>
      </c>
      <c r="R358" s="112">
        <v>2</v>
      </c>
      <c r="S358" s="112">
        <f>+R358*Q358</f>
        <v>2455.3177599999999</v>
      </c>
    </row>
    <row r="359" spans="1:19" x14ac:dyDescent="0.2">
      <c r="B359" s="199"/>
      <c r="C359" s="171"/>
      <c r="P359" s="263">
        <v>9.968</v>
      </c>
      <c r="Q359" s="166">
        <f>+J381*P360</f>
        <v>1585.0691999999999</v>
      </c>
      <c r="R359" s="112">
        <v>2</v>
      </c>
      <c r="S359" s="112">
        <f>+R359*Q359</f>
        <v>3170.1383999999998</v>
      </c>
    </row>
    <row r="360" spans="1:19" x14ac:dyDescent="0.2">
      <c r="B360" s="199"/>
      <c r="C360" s="171"/>
      <c r="P360" s="263">
        <v>12.87</v>
      </c>
      <c r="Q360" s="166">
        <f>+J382*P361</f>
        <v>546.09144000000003</v>
      </c>
      <c r="R360" s="112">
        <v>2</v>
      </c>
      <c r="S360" s="112">
        <f>+R360*Q360</f>
        <v>1092.1828800000001</v>
      </c>
    </row>
    <row r="361" spans="1:19" x14ac:dyDescent="0.2">
      <c r="B361" s="199"/>
      <c r="C361" s="171"/>
      <c r="P361" s="263">
        <v>8.8680000000000003</v>
      </c>
      <c r="Q361" s="166">
        <f>+J383*P362</f>
        <v>581.56152000000009</v>
      </c>
      <c r="R361" s="112">
        <v>4</v>
      </c>
      <c r="S361" s="112">
        <f>+R361*Q361</f>
        <v>2326.2460800000003</v>
      </c>
    </row>
    <row r="362" spans="1:19" ht="15" thickBot="1" x14ac:dyDescent="0.25">
      <c r="B362" s="199"/>
      <c r="P362" s="265">
        <v>4.7220000000000004</v>
      </c>
      <c r="Q362" s="166"/>
    </row>
    <row r="363" spans="1:19" ht="15" x14ac:dyDescent="0.2">
      <c r="B363" s="199"/>
      <c r="C363" s="171"/>
      <c r="D363" s="171"/>
      <c r="E363" s="199"/>
      <c r="F363" s="199"/>
      <c r="G363" s="199"/>
      <c r="H363" s="199"/>
      <c r="I363" s="199"/>
      <c r="J363" s="199"/>
      <c r="K363" s="176"/>
      <c r="L363" s="199"/>
      <c r="Q363" s="166"/>
      <c r="S363" s="266">
        <f>+SUM(S358:S361)</f>
        <v>9043.8851200000008</v>
      </c>
    </row>
    <row r="364" spans="1:19" x14ac:dyDescent="0.2">
      <c r="B364" s="269"/>
      <c r="C364" s="269"/>
      <c r="D364" s="269"/>
      <c r="E364" s="269"/>
      <c r="F364" s="269"/>
      <c r="G364" s="269"/>
      <c r="H364" s="269"/>
      <c r="I364" s="269"/>
      <c r="J364" s="269"/>
      <c r="K364" s="269"/>
      <c r="Q364" s="166"/>
    </row>
    <row r="365" spans="1:19" x14ac:dyDescent="0.2">
      <c r="B365" s="199"/>
      <c r="C365" s="170"/>
      <c r="D365" s="171"/>
      <c r="E365" s="199"/>
      <c r="F365" s="199"/>
      <c r="G365" s="199"/>
      <c r="H365" s="199"/>
      <c r="I365" s="199"/>
      <c r="J365" s="199"/>
      <c r="K365" s="199"/>
      <c r="P365" s="264" t="s">
        <v>193</v>
      </c>
      <c r="Q365" s="166"/>
    </row>
    <row r="366" spans="1:19" x14ac:dyDescent="0.2">
      <c r="B366" s="199"/>
      <c r="C366" s="171"/>
      <c r="D366" s="171"/>
      <c r="E366" s="199"/>
      <c r="F366" s="210"/>
      <c r="G366" s="199"/>
      <c r="H366" s="210"/>
      <c r="I366" s="199"/>
      <c r="J366" s="176"/>
      <c r="K366" s="199"/>
      <c r="P366" s="263">
        <f>+P359</f>
        <v>9.968</v>
      </c>
      <c r="Q366" s="166">
        <f>+K366*P366</f>
        <v>0</v>
      </c>
      <c r="R366" s="112">
        <v>2</v>
      </c>
      <c r="S366" s="112">
        <f>+R366*Q366</f>
        <v>0</v>
      </c>
    </row>
    <row r="367" spans="1:19" x14ac:dyDescent="0.2">
      <c r="B367" s="199"/>
      <c r="C367" s="171"/>
      <c r="D367" s="171"/>
      <c r="E367" s="199"/>
      <c r="F367" s="210"/>
      <c r="G367" s="199"/>
      <c r="H367" s="210"/>
      <c r="I367" s="199"/>
      <c r="J367" s="176"/>
      <c r="K367" s="199"/>
      <c r="P367" s="263">
        <f>+P360</f>
        <v>12.87</v>
      </c>
      <c r="Q367" s="166">
        <f>+K367*P367</f>
        <v>0</v>
      </c>
      <c r="R367" s="112">
        <v>2</v>
      </c>
      <c r="S367" s="112">
        <f>+R367*Q367</f>
        <v>0</v>
      </c>
    </row>
    <row r="368" spans="1:19" x14ac:dyDescent="0.2">
      <c r="B368" s="199"/>
      <c r="C368" s="171"/>
      <c r="D368" s="171"/>
      <c r="E368" s="199"/>
      <c r="F368" s="210"/>
      <c r="G368" s="199"/>
      <c r="H368" s="210"/>
      <c r="I368" s="199"/>
      <c r="J368" s="176"/>
      <c r="K368" s="199"/>
      <c r="P368" s="263">
        <f>+P361</f>
        <v>8.8680000000000003</v>
      </c>
      <c r="Q368" s="166">
        <f>+K368*P368</f>
        <v>0</v>
      </c>
      <c r="R368" s="112">
        <v>2</v>
      </c>
      <c r="S368" s="112">
        <f>+R368*Q368</f>
        <v>0</v>
      </c>
    </row>
    <row r="369" spans="2:19" ht="15" thickBot="1" x14ac:dyDescent="0.25">
      <c r="B369" s="199"/>
      <c r="C369" s="171"/>
      <c r="D369" s="171"/>
      <c r="E369" s="199"/>
      <c r="F369" s="210"/>
      <c r="G369" s="199"/>
      <c r="H369" s="210"/>
      <c r="I369" s="199"/>
      <c r="J369" s="176"/>
      <c r="K369" s="199"/>
      <c r="P369" s="265">
        <f>+P362</f>
        <v>4.7220000000000004</v>
      </c>
      <c r="Q369" s="166">
        <f>+K369*P369</f>
        <v>0</v>
      </c>
      <c r="R369" s="112">
        <v>4</v>
      </c>
      <c r="S369" s="112">
        <f>+R369*Q369</f>
        <v>0</v>
      </c>
    </row>
    <row r="370" spans="2:19" x14ac:dyDescent="0.2">
      <c r="B370" s="199"/>
      <c r="C370" s="171"/>
      <c r="D370" s="171"/>
      <c r="E370" s="199"/>
      <c r="F370" s="199"/>
      <c r="G370" s="199"/>
      <c r="H370" s="199"/>
      <c r="I370" s="199"/>
      <c r="J370" s="199"/>
      <c r="K370" s="176"/>
      <c r="L370" s="199"/>
      <c r="Q370" s="166"/>
    </row>
    <row r="371" spans="2:19" ht="15" x14ac:dyDescent="0.2">
      <c r="B371" s="199"/>
      <c r="C371" s="171"/>
      <c r="D371" s="171"/>
      <c r="E371" s="199"/>
      <c r="F371" s="199"/>
      <c r="G371" s="199"/>
      <c r="H371" s="199"/>
      <c r="I371" s="199"/>
      <c r="J371" s="199"/>
      <c r="K371" s="176"/>
      <c r="L371" s="199"/>
      <c r="Q371" s="166"/>
      <c r="S371" s="266">
        <f>+SUM(S366:S369)</f>
        <v>0</v>
      </c>
    </row>
    <row r="372" spans="2:19" x14ac:dyDescent="0.2">
      <c r="B372" s="199"/>
      <c r="C372" s="171"/>
      <c r="D372" s="171"/>
      <c r="E372" s="199"/>
      <c r="F372" s="199"/>
      <c r="G372" s="199"/>
      <c r="H372" s="199"/>
      <c r="I372" s="199"/>
      <c r="J372" s="199"/>
      <c r="K372" s="176"/>
      <c r="L372" s="199"/>
      <c r="Q372" s="166"/>
    </row>
    <row r="373" spans="2:19" x14ac:dyDescent="0.2"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</row>
    <row r="374" spans="2:19" ht="15" x14ac:dyDescent="0.2"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S374" s="113"/>
    </row>
    <row r="375" spans="2:19" ht="15" customHeight="1" x14ac:dyDescent="0.2">
      <c r="B375" s="199"/>
      <c r="C375" s="269"/>
      <c r="D375" s="269"/>
      <c r="E375" s="269"/>
      <c r="F375" s="269"/>
      <c r="G375" s="269"/>
      <c r="H375" s="269"/>
      <c r="I375" s="269"/>
      <c r="J375" s="269"/>
      <c r="K375" s="171"/>
      <c r="Q375" s="268"/>
    </row>
    <row r="376" spans="2:19" ht="15" customHeight="1" x14ac:dyDescent="0.2">
      <c r="B376" s="199"/>
      <c r="C376" s="302"/>
      <c r="D376" s="269"/>
      <c r="E376" s="199"/>
      <c r="F376" s="199"/>
      <c r="G376" s="199"/>
      <c r="H376" s="199"/>
      <c r="I376" s="199"/>
      <c r="J376" s="199"/>
      <c r="K376" s="171"/>
      <c r="Q376" s="268"/>
      <c r="S376" s="266">
        <f>+(S371+S363)*1.1</f>
        <v>9948.2736320000022</v>
      </c>
    </row>
    <row r="377" spans="2:19" ht="15" thickBot="1" x14ac:dyDescent="0.25">
      <c r="B377" s="199"/>
      <c r="C377" s="302"/>
      <c r="D377" s="269"/>
      <c r="E377" s="199"/>
      <c r="F377" s="199"/>
      <c r="G377" s="199"/>
      <c r="H377" s="199"/>
      <c r="I377" s="199"/>
      <c r="J377" s="199"/>
      <c r="K377" s="171"/>
    </row>
    <row r="378" spans="2:19" ht="15.95" customHeight="1" x14ac:dyDescent="0.2">
      <c r="B378" s="199"/>
      <c r="C378" s="255" t="s">
        <v>333</v>
      </c>
      <c r="D378" s="256"/>
      <c r="E378" s="256"/>
      <c r="F378" s="256"/>
      <c r="G378" s="256"/>
      <c r="H378" s="256"/>
      <c r="I378" s="256"/>
      <c r="J378" s="256"/>
      <c r="K378" s="256"/>
      <c r="L378" s="257"/>
    </row>
    <row r="379" spans="2:19" ht="15.95" customHeight="1" x14ac:dyDescent="0.2">
      <c r="B379" s="199"/>
      <c r="C379" s="254" t="s">
        <v>191</v>
      </c>
      <c r="D379" s="258" t="s">
        <v>246</v>
      </c>
      <c r="E379" s="259"/>
      <c r="F379" s="260" t="s">
        <v>205</v>
      </c>
      <c r="G379" s="260" t="s">
        <v>194</v>
      </c>
      <c r="H379" s="260" t="s">
        <v>206</v>
      </c>
      <c r="I379" s="260" t="s">
        <v>195</v>
      </c>
      <c r="J379" s="260" t="s">
        <v>196</v>
      </c>
      <c r="K379" s="260" t="s">
        <v>204</v>
      </c>
      <c r="L379" s="261" t="s">
        <v>192</v>
      </c>
    </row>
    <row r="380" spans="2:19" ht="15.95" customHeight="1" x14ac:dyDescent="0.2">
      <c r="B380" s="199"/>
      <c r="C380" s="254" t="s">
        <v>365</v>
      </c>
      <c r="D380" s="120" t="str">
        <f>E174</f>
        <v>2I300x160x8x10</v>
      </c>
      <c r="E380" s="259"/>
      <c r="F380" s="260">
        <f t="shared" ref="F380:J382" si="23">G174</f>
        <v>18960</v>
      </c>
      <c r="G380" s="260">
        <f t="shared" si="23"/>
        <v>1264</v>
      </c>
      <c r="H380" s="260">
        <f t="shared" si="23"/>
        <v>1176</v>
      </c>
      <c r="I380" s="260">
        <f t="shared" si="23"/>
        <v>156.80000000000001</v>
      </c>
      <c r="J380" s="260">
        <f t="shared" si="23"/>
        <v>123.16</v>
      </c>
      <c r="K380" s="263">
        <f>+(F380/J380)^0.5</f>
        <v>12.407501214655818</v>
      </c>
      <c r="L380" s="270">
        <f>J349/1000</f>
        <v>0.41670000000000001</v>
      </c>
    </row>
    <row r="381" spans="2:19" ht="15.95" customHeight="1" x14ac:dyDescent="0.2">
      <c r="B381" s="199"/>
      <c r="C381" s="254" t="s">
        <v>366</v>
      </c>
      <c r="D381" s="120" t="str">
        <f>E175</f>
        <v>2I300x160x8x10</v>
      </c>
      <c r="E381" s="259"/>
      <c r="F381" s="260">
        <f t="shared" si="23"/>
        <v>18960</v>
      </c>
      <c r="G381" s="260">
        <f t="shared" si="23"/>
        <v>1264</v>
      </c>
      <c r="H381" s="260">
        <f t="shared" si="23"/>
        <v>1176</v>
      </c>
      <c r="I381" s="260">
        <f t="shared" si="23"/>
        <v>156.80000000000001</v>
      </c>
      <c r="J381" s="260">
        <f t="shared" si="23"/>
        <v>123.16</v>
      </c>
      <c r="K381" s="263">
        <f>+(F381/J381)^0.5</f>
        <v>12.407501214655818</v>
      </c>
      <c r="L381" s="270">
        <f>L380</f>
        <v>0.41670000000000001</v>
      </c>
    </row>
    <row r="382" spans="2:19" ht="15.95" customHeight="1" x14ac:dyDescent="0.2">
      <c r="B382" s="199"/>
      <c r="C382" s="254" t="s">
        <v>367</v>
      </c>
      <c r="D382" s="120" t="str">
        <f>E176</f>
        <v>I300x160x8x10</v>
      </c>
      <c r="E382" s="259"/>
      <c r="F382" s="260">
        <f t="shared" si="23"/>
        <v>9480</v>
      </c>
      <c r="G382" s="260">
        <f t="shared" si="23"/>
        <v>632</v>
      </c>
      <c r="H382" s="260">
        <f t="shared" si="23"/>
        <v>588</v>
      </c>
      <c r="I382" s="260">
        <f t="shared" si="23"/>
        <v>78.400000000000006</v>
      </c>
      <c r="J382" s="260">
        <f t="shared" si="23"/>
        <v>61.58</v>
      </c>
      <c r="K382" s="263">
        <f>+(F382/J382)^0.5</f>
        <v>12.407501214655818</v>
      </c>
      <c r="L382" s="261"/>
    </row>
    <row r="383" spans="2:19" ht="15.95" customHeight="1" thickBot="1" x14ac:dyDescent="0.25">
      <c r="B383" s="199"/>
      <c r="C383" s="247" t="s">
        <v>469</v>
      </c>
      <c r="D383" s="362" t="s">
        <v>411</v>
      </c>
      <c r="E383" s="363"/>
      <c r="F383" s="249">
        <f>2*9480</f>
        <v>18960</v>
      </c>
      <c r="G383" s="249">
        <f>2*632</f>
        <v>1264</v>
      </c>
      <c r="H383" s="249">
        <f>588*2</f>
        <v>1176</v>
      </c>
      <c r="I383" s="249">
        <f>78.4*2</f>
        <v>156.80000000000001</v>
      </c>
      <c r="J383" s="249">
        <f>61.58*2</f>
        <v>123.16</v>
      </c>
      <c r="K383" s="265">
        <f>+(F383/J383)^0.5</f>
        <v>12.407501214655818</v>
      </c>
      <c r="L383" s="364"/>
    </row>
    <row r="384" spans="2:19" ht="15.95" customHeight="1" x14ac:dyDescent="0.2">
      <c r="B384" s="199"/>
      <c r="C384" s="171"/>
      <c r="D384" s="171"/>
      <c r="E384" s="215"/>
      <c r="F384" s="215"/>
      <c r="G384" s="215"/>
      <c r="H384" s="215"/>
      <c r="I384" s="215"/>
      <c r="J384" s="215"/>
      <c r="K384" s="171"/>
    </row>
    <row r="385" spans="1:14" x14ac:dyDescent="0.2">
      <c r="A385" s="112" t="s">
        <v>334</v>
      </c>
    </row>
    <row r="386" spans="1:14" ht="15" x14ac:dyDescent="0.2">
      <c r="C386" s="113" t="s">
        <v>470</v>
      </c>
      <c r="K386" s="113" t="s">
        <v>471</v>
      </c>
    </row>
    <row r="387" spans="1:14" ht="15" x14ac:dyDescent="0.2">
      <c r="A387" s="284"/>
      <c r="B387" s="114"/>
      <c r="C387" s="232"/>
      <c r="D387" s="199"/>
      <c r="E387" s="199"/>
      <c r="M387" s="114"/>
      <c r="N387" s="114"/>
    </row>
    <row r="388" spans="1:14" ht="15" x14ac:dyDescent="0.2">
      <c r="A388" s="284"/>
      <c r="B388" s="114"/>
      <c r="C388" s="232"/>
      <c r="D388" s="199"/>
      <c r="E388" s="199"/>
      <c r="M388" s="114"/>
      <c r="N388" s="114"/>
    </row>
    <row r="389" spans="1:14" ht="15" x14ac:dyDescent="0.2">
      <c r="A389" s="284"/>
      <c r="B389" s="114"/>
      <c r="C389" s="232"/>
      <c r="D389" s="199"/>
      <c r="E389" s="199"/>
      <c r="M389" s="114"/>
      <c r="N389" s="114"/>
    </row>
    <row r="390" spans="1:14" ht="15" x14ac:dyDescent="0.2">
      <c r="A390" s="284"/>
      <c r="B390" s="114"/>
      <c r="C390" s="232"/>
      <c r="D390" s="199"/>
      <c r="E390" s="199"/>
      <c r="M390" s="114"/>
      <c r="N390" s="114"/>
    </row>
    <row r="391" spans="1:14" ht="15" x14ac:dyDescent="0.2">
      <c r="A391" s="284"/>
      <c r="B391" s="114"/>
      <c r="C391" s="232"/>
      <c r="D391" s="199"/>
      <c r="E391" s="199"/>
      <c r="M391" s="114"/>
      <c r="N391" s="114"/>
    </row>
    <row r="392" spans="1:14" ht="15" x14ac:dyDescent="0.2">
      <c r="A392" s="284"/>
      <c r="B392" s="114"/>
      <c r="C392" s="232"/>
      <c r="D392" s="199"/>
      <c r="E392" s="199"/>
      <c r="M392" s="114"/>
      <c r="N392" s="114"/>
    </row>
    <row r="393" spans="1:14" ht="15" x14ac:dyDescent="0.2">
      <c r="A393" s="284"/>
      <c r="B393" s="114"/>
      <c r="C393" s="232"/>
      <c r="D393" s="199"/>
      <c r="E393" s="199"/>
      <c r="M393" s="114"/>
      <c r="N393" s="114"/>
    </row>
    <row r="394" spans="1:14" ht="15" x14ac:dyDescent="0.2">
      <c r="A394" s="284"/>
      <c r="B394" s="114"/>
      <c r="C394" s="232"/>
      <c r="D394" s="199"/>
      <c r="E394" s="199"/>
      <c r="M394" s="114"/>
      <c r="N394" s="114"/>
    </row>
    <row r="395" spans="1:14" ht="15" x14ac:dyDescent="0.2">
      <c r="A395" s="284"/>
      <c r="B395" s="114"/>
      <c r="C395" s="232"/>
      <c r="D395" s="199"/>
      <c r="E395" s="199"/>
      <c r="M395" s="114"/>
      <c r="N395" s="114"/>
    </row>
    <row r="396" spans="1:14" ht="15" x14ac:dyDescent="0.2">
      <c r="A396" s="284"/>
      <c r="B396" s="114"/>
      <c r="C396" s="232"/>
      <c r="D396" s="199"/>
      <c r="E396" s="199"/>
      <c r="M396" s="114"/>
      <c r="N396" s="114"/>
    </row>
    <row r="397" spans="1:14" ht="15" x14ac:dyDescent="0.2">
      <c r="A397" s="284"/>
      <c r="B397" s="114"/>
      <c r="C397" s="232"/>
      <c r="D397" s="199"/>
      <c r="E397" s="199"/>
      <c r="M397" s="114"/>
      <c r="N397" s="114"/>
    </row>
    <row r="398" spans="1:14" ht="15" x14ac:dyDescent="0.2">
      <c r="A398" s="284"/>
      <c r="B398" s="114"/>
      <c r="C398" s="232"/>
      <c r="D398" s="199"/>
      <c r="E398" s="199"/>
      <c r="M398" s="114"/>
      <c r="N398" s="114"/>
    </row>
    <row r="399" spans="1:14" ht="15" x14ac:dyDescent="0.2">
      <c r="A399" s="284"/>
      <c r="B399" s="114"/>
      <c r="C399" s="232"/>
      <c r="D399" s="199"/>
      <c r="E399" s="199"/>
      <c r="M399" s="114"/>
      <c r="N399" s="114"/>
    </row>
    <row r="400" spans="1:14" ht="15" x14ac:dyDescent="0.2">
      <c r="A400" s="284"/>
      <c r="B400" s="114"/>
      <c r="C400" s="232"/>
      <c r="D400" s="199"/>
      <c r="E400" s="199"/>
      <c r="M400" s="114"/>
      <c r="N400" s="114"/>
    </row>
    <row r="401" spans="1:14" ht="15" x14ac:dyDescent="0.2">
      <c r="A401" s="284"/>
      <c r="B401" s="114"/>
      <c r="C401" s="232"/>
      <c r="D401" s="199"/>
      <c r="E401" s="199"/>
      <c r="M401" s="114"/>
      <c r="N401" s="114"/>
    </row>
    <row r="402" spans="1:14" ht="15" x14ac:dyDescent="0.2">
      <c r="A402" s="284"/>
      <c r="B402" s="114"/>
      <c r="C402" s="232"/>
      <c r="D402" s="199"/>
      <c r="E402" s="199"/>
      <c r="M402" s="114"/>
      <c r="N402" s="114"/>
    </row>
    <row r="403" spans="1:14" ht="15" x14ac:dyDescent="0.2">
      <c r="A403" s="284"/>
      <c r="B403" s="114"/>
      <c r="C403" s="232"/>
      <c r="D403" s="199"/>
      <c r="E403" s="199"/>
      <c r="M403" s="114"/>
      <c r="N403" s="114"/>
    </row>
    <row r="404" spans="1:14" ht="15" x14ac:dyDescent="0.2">
      <c r="A404" s="113" t="s">
        <v>207</v>
      </c>
      <c r="M404" s="114"/>
      <c r="N404" s="114"/>
    </row>
    <row r="405" spans="1:14" ht="15" thickBot="1" x14ac:dyDescent="0.25"/>
    <row r="406" spans="1:14" ht="17.25" x14ac:dyDescent="0.2">
      <c r="B406" s="241" t="s">
        <v>323</v>
      </c>
      <c r="C406" s="243" t="s">
        <v>344</v>
      </c>
      <c r="D406" s="267" t="s">
        <v>345</v>
      </c>
      <c r="E406" s="267" t="s">
        <v>346</v>
      </c>
      <c r="F406" s="243" t="s">
        <v>6</v>
      </c>
      <c r="G406" s="267" t="s">
        <v>238</v>
      </c>
      <c r="H406" s="267" t="s">
        <v>329</v>
      </c>
      <c r="I406" s="244" t="s">
        <v>232</v>
      </c>
      <c r="J406" s="244" t="s">
        <v>233</v>
      </c>
      <c r="K406" s="244" t="s">
        <v>234</v>
      </c>
      <c r="L406" s="271" t="s">
        <v>202</v>
      </c>
    </row>
    <row r="407" spans="1:14" ht="16.5" x14ac:dyDescent="0.2">
      <c r="B407" s="246" t="s">
        <v>331</v>
      </c>
      <c r="C407" s="272" t="s">
        <v>203</v>
      </c>
      <c r="D407" s="273" t="s">
        <v>332</v>
      </c>
      <c r="E407" s="273" t="s">
        <v>332</v>
      </c>
      <c r="F407" s="209" t="s">
        <v>239</v>
      </c>
      <c r="G407" s="209" t="s">
        <v>240</v>
      </c>
      <c r="H407" s="209" t="s">
        <v>240</v>
      </c>
      <c r="I407" s="274" t="s">
        <v>149</v>
      </c>
      <c r="J407" s="274" t="s">
        <v>149</v>
      </c>
      <c r="K407" s="274" t="s">
        <v>149</v>
      </c>
      <c r="L407" s="275" t="s">
        <v>144</v>
      </c>
    </row>
    <row r="408" spans="1:14" x14ac:dyDescent="0.2">
      <c r="B408" s="254" t="s">
        <v>487</v>
      </c>
      <c r="C408" s="262" t="s">
        <v>564</v>
      </c>
      <c r="D408" s="262" t="s">
        <v>565</v>
      </c>
      <c r="E408" s="262" t="s">
        <v>511</v>
      </c>
      <c r="F408" s="263">
        <f t="shared" ref="F408:F417" si="24">$K$174</f>
        <v>123.16</v>
      </c>
      <c r="G408" s="263">
        <f t="shared" ref="G408:G417" si="25">$H$174</f>
        <v>1264</v>
      </c>
      <c r="H408" s="263">
        <f t="shared" ref="H408:H417" si="26">$J$174</f>
        <v>156.80000000000001</v>
      </c>
      <c r="I408" s="262" t="e">
        <f t="shared" ref="I408:I439" si="27">+ABS(C408)/F408</f>
        <v>#VALUE!</v>
      </c>
      <c r="J408" s="262" t="e">
        <f t="shared" ref="J408:J439" si="28">+(ABS(D408)/G408+ABS(E408)/H408)*100</f>
        <v>#VALUE!</v>
      </c>
      <c r="K408" s="262" t="e">
        <f t="shared" ref="K408:K439" si="29">+ABS(J408)+ABS(I408)</f>
        <v>#VALUE!</v>
      </c>
      <c r="L408" s="276" t="e">
        <f t="shared" ref="L408:L439" si="30">IF(AND(ABS(K408)&lt;$D$13,ABS(J408)&lt;$D$14),"OK !", "Check !")</f>
        <v>#VALUE!</v>
      </c>
    </row>
    <row r="409" spans="1:14" x14ac:dyDescent="0.2">
      <c r="B409" s="254" t="s">
        <v>487</v>
      </c>
      <c r="C409" s="262" t="s">
        <v>564</v>
      </c>
      <c r="D409" s="262" t="s">
        <v>566</v>
      </c>
      <c r="E409" s="262" t="s">
        <v>512</v>
      </c>
      <c r="F409" s="263">
        <f t="shared" si="24"/>
        <v>123.16</v>
      </c>
      <c r="G409" s="263">
        <f t="shared" si="25"/>
        <v>1264</v>
      </c>
      <c r="H409" s="263">
        <f t="shared" si="26"/>
        <v>156.80000000000001</v>
      </c>
      <c r="I409" s="262" t="e">
        <f t="shared" si="27"/>
        <v>#VALUE!</v>
      </c>
      <c r="J409" s="262" t="e">
        <f t="shared" si="28"/>
        <v>#VALUE!</v>
      </c>
      <c r="K409" s="262" t="e">
        <f t="shared" si="29"/>
        <v>#VALUE!</v>
      </c>
      <c r="L409" s="276" t="e">
        <f t="shared" si="30"/>
        <v>#VALUE!</v>
      </c>
    </row>
    <row r="410" spans="1:14" x14ac:dyDescent="0.2">
      <c r="A410" s="278"/>
      <c r="B410" s="254" t="s">
        <v>487</v>
      </c>
      <c r="C410" s="262" t="s">
        <v>564</v>
      </c>
      <c r="D410" s="262" t="s">
        <v>567</v>
      </c>
      <c r="E410" s="262" t="s">
        <v>513</v>
      </c>
      <c r="F410" s="263">
        <f t="shared" si="24"/>
        <v>123.16</v>
      </c>
      <c r="G410" s="263">
        <f t="shared" si="25"/>
        <v>1264</v>
      </c>
      <c r="H410" s="263">
        <f t="shared" si="26"/>
        <v>156.80000000000001</v>
      </c>
      <c r="I410" s="262" t="e">
        <f t="shared" si="27"/>
        <v>#VALUE!</v>
      </c>
      <c r="J410" s="262" t="e">
        <f t="shared" si="28"/>
        <v>#VALUE!</v>
      </c>
      <c r="K410" s="262" t="e">
        <f t="shared" si="29"/>
        <v>#VALUE!</v>
      </c>
      <c r="L410" s="276" t="e">
        <f t="shared" si="30"/>
        <v>#VALUE!</v>
      </c>
    </row>
    <row r="411" spans="1:14" x14ac:dyDescent="0.2">
      <c r="B411" s="254" t="s">
        <v>488</v>
      </c>
      <c r="C411" s="262" t="s">
        <v>568</v>
      </c>
      <c r="D411" s="262" t="s">
        <v>569</v>
      </c>
      <c r="E411" s="262" t="s">
        <v>514</v>
      </c>
      <c r="F411" s="263">
        <f t="shared" si="24"/>
        <v>123.16</v>
      </c>
      <c r="G411" s="263">
        <f t="shared" si="25"/>
        <v>1264</v>
      </c>
      <c r="H411" s="263">
        <f t="shared" si="26"/>
        <v>156.80000000000001</v>
      </c>
      <c r="I411" s="262" t="e">
        <f t="shared" si="27"/>
        <v>#VALUE!</v>
      </c>
      <c r="J411" s="262" t="e">
        <f t="shared" si="28"/>
        <v>#VALUE!</v>
      </c>
      <c r="K411" s="262" t="e">
        <f t="shared" si="29"/>
        <v>#VALUE!</v>
      </c>
      <c r="L411" s="276" t="e">
        <f t="shared" si="30"/>
        <v>#VALUE!</v>
      </c>
    </row>
    <row r="412" spans="1:14" x14ac:dyDescent="0.2">
      <c r="B412" s="254" t="s">
        <v>488</v>
      </c>
      <c r="C412" s="262" t="s">
        <v>568</v>
      </c>
      <c r="D412" s="262" t="s">
        <v>570</v>
      </c>
      <c r="E412" s="262" t="s">
        <v>515</v>
      </c>
      <c r="F412" s="263">
        <f t="shared" si="24"/>
        <v>123.16</v>
      </c>
      <c r="G412" s="263">
        <f t="shared" si="25"/>
        <v>1264</v>
      </c>
      <c r="H412" s="263">
        <f t="shared" si="26"/>
        <v>156.80000000000001</v>
      </c>
      <c r="I412" s="262" t="e">
        <f t="shared" si="27"/>
        <v>#VALUE!</v>
      </c>
      <c r="J412" s="262" t="e">
        <f t="shared" si="28"/>
        <v>#VALUE!</v>
      </c>
      <c r="K412" s="262" t="e">
        <f t="shared" si="29"/>
        <v>#VALUE!</v>
      </c>
      <c r="L412" s="276" t="e">
        <f t="shared" si="30"/>
        <v>#VALUE!</v>
      </c>
    </row>
    <row r="413" spans="1:14" x14ac:dyDescent="0.2">
      <c r="B413" s="254" t="s">
        <v>488</v>
      </c>
      <c r="C413" s="262" t="s">
        <v>568</v>
      </c>
      <c r="D413" s="262" t="s">
        <v>571</v>
      </c>
      <c r="E413" s="262" t="s">
        <v>516</v>
      </c>
      <c r="F413" s="263">
        <f t="shared" si="24"/>
        <v>123.16</v>
      </c>
      <c r="G413" s="263">
        <f t="shared" si="25"/>
        <v>1264</v>
      </c>
      <c r="H413" s="263">
        <f t="shared" si="26"/>
        <v>156.80000000000001</v>
      </c>
      <c r="I413" s="262" t="e">
        <f t="shared" si="27"/>
        <v>#VALUE!</v>
      </c>
      <c r="J413" s="262" t="e">
        <f t="shared" si="28"/>
        <v>#VALUE!</v>
      </c>
      <c r="K413" s="262" t="e">
        <f t="shared" si="29"/>
        <v>#VALUE!</v>
      </c>
      <c r="L413" s="276" t="e">
        <f t="shared" si="30"/>
        <v>#VALUE!</v>
      </c>
    </row>
    <row r="414" spans="1:14" x14ac:dyDescent="0.2">
      <c r="B414" s="254" t="s">
        <v>489</v>
      </c>
      <c r="C414" s="262" t="s">
        <v>568</v>
      </c>
      <c r="D414" s="262" t="s">
        <v>572</v>
      </c>
      <c r="E414" s="262" t="s">
        <v>516</v>
      </c>
      <c r="F414" s="263">
        <f t="shared" si="24"/>
        <v>123.16</v>
      </c>
      <c r="G414" s="263">
        <f t="shared" si="25"/>
        <v>1264</v>
      </c>
      <c r="H414" s="263">
        <f t="shared" si="26"/>
        <v>156.80000000000001</v>
      </c>
      <c r="I414" s="262" t="e">
        <f t="shared" si="27"/>
        <v>#VALUE!</v>
      </c>
      <c r="J414" s="262" t="e">
        <f t="shared" si="28"/>
        <v>#VALUE!</v>
      </c>
      <c r="K414" s="262" t="e">
        <f t="shared" si="29"/>
        <v>#VALUE!</v>
      </c>
      <c r="L414" s="276" t="e">
        <f t="shared" si="30"/>
        <v>#VALUE!</v>
      </c>
    </row>
    <row r="415" spans="1:14" x14ac:dyDescent="0.2">
      <c r="B415" s="254" t="s">
        <v>489</v>
      </c>
      <c r="C415" s="262" t="s">
        <v>568</v>
      </c>
      <c r="D415" s="262" t="s">
        <v>573</v>
      </c>
      <c r="E415" s="262" t="s">
        <v>517</v>
      </c>
      <c r="F415" s="263">
        <f t="shared" si="24"/>
        <v>123.16</v>
      </c>
      <c r="G415" s="263">
        <f t="shared" si="25"/>
        <v>1264</v>
      </c>
      <c r="H415" s="263">
        <f t="shared" si="26"/>
        <v>156.80000000000001</v>
      </c>
      <c r="I415" s="262" t="e">
        <f t="shared" si="27"/>
        <v>#VALUE!</v>
      </c>
      <c r="J415" s="262" t="e">
        <f t="shared" si="28"/>
        <v>#VALUE!</v>
      </c>
      <c r="K415" s="262" t="e">
        <f t="shared" si="29"/>
        <v>#VALUE!</v>
      </c>
      <c r="L415" s="276" t="e">
        <f t="shared" si="30"/>
        <v>#VALUE!</v>
      </c>
    </row>
    <row r="416" spans="1:14" x14ac:dyDescent="0.2">
      <c r="B416" s="254" t="s">
        <v>489</v>
      </c>
      <c r="C416" s="262" t="s">
        <v>568</v>
      </c>
      <c r="D416" s="262" t="s">
        <v>574</v>
      </c>
      <c r="E416" s="262" t="s">
        <v>518</v>
      </c>
      <c r="F416" s="263">
        <f t="shared" si="24"/>
        <v>123.16</v>
      </c>
      <c r="G416" s="263">
        <f t="shared" si="25"/>
        <v>1264</v>
      </c>
      <c r="H416" s="263">
        <f t="shared" si="26"/>
        <v>156.80000000000001</v>
      </c>
      <c r="I416" s="262" t="e">
        <f t="shared" si="27"/>
        <v>#VALUE!</v>
      </c>
      <c r="J416" s="262" t="e">
        <f t="shared" si="28"/>
        <v>#VALUE!</v>
      </c>
      <c r="K416" s="262" t="e">
        <f t="shared" si="29"/>
        <v>#VALUE!</v>
      </c>
      <c r="L416" s="276" t="e">
        <f t="shared" si="30"/>
        <v>#VALUE!</v>
      </c>
    </row>
    <row r="417" spans="2:12" x14ac:dyDescent="0.2">
      <c r="B417" s="254" t="s">
        <v>490</v>
      </c>
      <c r="C417" s="262" t="s">
        <v>568</v>
      </c>
      <c r="D417" s="262" t="s">
        <v>571</v>
      </c>
      <c r="E417" s="262" t="s">
        <v>516</v>
      </c>
      <c r="F417" s="263">
        <f t="shared" si="24"/>
        <v>123.16</v>
      </c>
      <c r="G417" s="263">
        <f t="shared" si="25"/>
        <v>1264</v>
      </c>
      <c r="H417" s="263">
        <f t="shared" si="26"/>
        <v>156.80000000000001</v>
      </c>
      <c r="I417" s="262" t="e">
        <f t="shared" si="27"/>
        <v>#VALUE!</v>
      </c>
      <c r="J417" s="262" t="e">
        <f t="shared" si="28"/>
        <v>#VALUE!</v>
      </c>
      <c r="K417" s="262" t="e">
        <f t="shared" si="29"/>
        <v>#VALUE!</v>
      </c>
      <c r="L417" s="276" t="e">
        <f t="shared" si="30"/>
        <v>#VALUE!</v>
      </c>
    </row>
    <row r="418" spans="2:12" x14ac:dyDescent="0.2">
      <c r="B418" s="254" t="s">
        <v>490</v>
      </c>
      <c r="C418" s="262" t="s">
        <v>568</v>
      </c>
      <c r="D418" s="262" t="s">
        <v>570</v>
      </c>
      <c r="E418" s="262" t="s">
        <v>515</v>
      </c>
      <c r="F418" s="263">
        <f t="shared" ref="F418:H421" si="31">F227</f>
        <v>123.16</v>
      </c>
      <c r="G418" s="263">
        <f t="shared" si="31"/>
        <v>1264</v>
      </c>
      <c r="H418" s="263">
        <f t="shared" si="31"/>
        <v>156.80000000000001</v>
      </c>
      <c r="I418" s="262" t="e">
        <f t="shared" si="27"/>
        <v>#VALUE!</v>
      </c>
      <c r="J418" s="262" t="e">
        <f t="shared" si="28"/>
        <v>#VALUE!</v>
      </c>
      <c r="K418" s="262" t="e">
        <f t="shared" si="29"/>
        <v>#VALUE!</v>
      </c>
      <c r="L418" s="276" t="e">
        <f t="shared" si="30"/>
        <v>#VALUE!</v>
      </c>
    </row>
    <row r="419" spans="2:12" x14ac:dyDescent="0.2">
      <c r="B419" s="254" t="s">
        <v>490</v>
      </c>
      <c r="C419" s="262" t="s">
        <v>568</v>
      </c>
      <c r="D419" s="262" t="s">
        <v>569</v>
      </c>
      <c r="E419" s="262" t="s">
        <v>514</v>
      </c>
      <c r="F419" s="263">
        <f t="shared" si="31"/>
        <v>123.16</v>
      </c>
      <c r="G419" s="263">
        <f t="shared" si="31"/>
        <v>1264</v>
      </c>
      <c r="H419" s="263">
        <f t="shared" si="31"/>
        <v>156.80000000000001</v>
      </c>
      <c r="I419" s="262" t="e">
        <f t="shared" si="27"/>
        <v>#VALUE!</v>
      </c>
      <c r="J419" s="262" t="e">
        <f t="shared" si="28"/>
        <v>#VALUE!</v>
      </c>
      <c r="K419" s="262" t="e">
        <f t="shared" si="29"/>
        <v>#VALUE!</v>
      </c>
      <c r="L419" s="276" t="e">
        <f t="shared" si="30"/>
        <v>#VALUE!</v>
      </c>
    </row>
    <row r="420" spans="2:12" x14ac:dyDescent="0.2">
      <c r="B420" s="254" t="s">
        <v>491</v>
      </c>
      <c r="C420" s="262" t="s">
        <v>564</v>
      </c>
      <c r="D420" s="262" t="s">
        <v>567</v>
      </c>
      <c r="E420" s="262" t="s">
        <v>513</v>
      </c>
      <c r="F420" s="263">
        <f t="shared" si="31"/>
        <v>123.16</v>
      </c>
      <c r="G420" s="263">
        <f t="shared" si="31"/>
        <v>1264</v>
      </c>
      <c r="H420" s="263">
        <f t="shared" si="31"/>
        <v>156.80000000000001</v>
      </c>
      <c r="I420" s="262" t="e">
        <f t="shared" si="27"/>
        <v>#VALUE!</v>
      </c>
      <c r="J420" s="262" t="e">
        <f t="shared" si="28"/>
        <v>#VALUE!</v>
      </c>
      <c r="K420" s="262" t="e">
        <f t="shared" si="29"/>
        <v>#VALUE!</v>
      </c>
      <c r="L420" s="276" t="e">
        <f t="shared" si="30"/>
        <v>#VALUE!</v>
      </c>
    </row>
    <row r="421" spans="2:12" x14ac:dyDescent="0.2">
      <c r="B421" s="254" t="s">
        <v>491</v>
      </c>
      <c r="C421" s="262" t="s">
        <v>564</v>
      </c>
      <c r="D421" s="262" t="s">
        <v>566</v>
      </c>
      <c r="E421" s="262" t="s">
        <v>512</v>
      </c>
      <c r="F421" s="263">
        <f t="shared" si="31"/>
        <v>123.16</v>
      </c>
      <c r="G421" s="263">
        <f t="shared" si="31"/>
        <v>1264</v>
      </c>
      <c r="H421" s="263">
        <f t="shared" si="31"/>
        <v>156.80000000000001</v>
      </c>
      <c r="I421" s="262" t="e">
        <f t="shared" si="27"/>
        <v>#VALUE!</v>
      </c>
      <c r="J421" s="262" t="e">
        <f t="shared" si="28"/>
        <v>#VALUE!</v>
      </c>
      <c r="K421" s="262" t="e">
        <f t="shared" si="29"/>
        <v>#VALUE!</v>
      </c>
      <c r="L421" s="276" t="e">
        <f t="shared" si="30"/>
        <v>#VALUE!</v>
      </c>
    </row>
    <row r="422" spans="2:12" x14ac:dyDescent="0.2">
      <c r="B422" s="254" t="s">
        <v>491</v>
      </c>
      <c r="C422" s="262" t="s">
        <v>564</v>
      </c>
      <c r="D422" s="262" t="s">
        <v>565</v>
      </c>
      <c r="E422" s="262" t="s">
        <v>511</v>
      </c>
      <c r="F422" s="263">
        <f t="shared" ref="F422:F429" si="32">$K$174</f>
        <v>123.16</v>
      </c>
      <c r="G422" s="263">
        <f t="shared" ref="G422:G429" si="33">$H$174</f>
        <v>1264</v>
      </c>
      <c r="H422" s="263">
        <f t="shared" ref="H422:H429" si="34">$J$174</f>
        <v>156.80000000000001</v>
      </c>
      <c r="I422" s="262" t="e">
        <f t="shared" si="27"/>
        <v>#VALUE!</v>
      </c>
      <c r="J422" s="262" t="e">
        <f t="shared" si="28"/>
        <v>#VALUE!</v>
      </c>
      <c r="K422" s="262" t="e">
        <f t="shared" si="29"/>
        <v>#VALUE!</v>
      </c>
      <c r="L422" s="276" t="e">
        <f t="shared" si="30"/>
        <v>#VALUE!</v>
      </c>
    </row>
    <row r="423" spans="2:12" x14ac:dyDescent="0.2">
      <c r="B423" s="254" t="s">
        <v>492</v>
      </c>
      <c r="C423" s="262" t="s">
        <v>575</v>
      </c>
      <c r="D423" s="262" t="s">
        <v>576</v>
      </c>
      <c r="E423" s="262" t="s">
        <v>519</v>
      </c>
      <c r="F423" s="263">
        <f t="shared" si="32"/>
        <v>123.16</v>
      </c>
      <c r="G423" s="263">
        <f t="shared" si="33"/>
        <v>1264</v>
      </c>
      <c r="H423" s="263">
        <f t="shared" si="34"/>
        <v>156.80000000000001</v>
      </c>
      <c r="I423" s="262" t="e">
        <f t="shared" si="27"/>
        <v>#VALUE!</v>
      </c>
      <c r="J423" s="262" t="e">
        <f t="shared" si="28"/>
        <v>#VALUE!</v>
      </c>
      <c r="K423" s="262" t="e">
        <f t="shared" si="29"/>
        <v>#VALUE!</v>
      </c>
      <c r="L423" s="276" t="e">
        <f t="shared" si="30"/>
        <v>#VALUE!</v>
      </c>
    </row>
    <row r="424" spans="2:12" x14ac:dyDescent="0.2">
      <c r="B424" s="254" t="s">
        <v>492</v>
      </c>
      <c r="C424" s="262" t="s">
        <v>575</v>
      </c>
      <c r="D424" s="262" t="s">
        <v>577</v>
      </c>
      <c r="E424" s="262" t="s">
        <v>520</v>
      </c>
      <c r="F424" s="263">
        <f t="shared" si="32"/>
        <v>123.16</v>
      </c>
      <c r="G424" s="263">
        <f t="shared" si="33"/>
        <v>1264</v>
      </c>
      <c r="H424" s="263">
        <f t="shared" si="34"/>
        <v>156.80000000000001</v>
      </c>
      <c r="I424" s="262" t="e">
        <f t="shared" si="27"/>
        <v>#VALUE!</v>
      </c>
      <c r="J424" s="262" t="e">
        <f t="shared" si="28"/>
        <v>#VALUE!</v>
      </c>
      <c r="K424" s="262" t="e">
        <f t="shared" si="29"/>
        <v>#VALUE!</v>
      </c>
      <c r="L424" s="276" t="e">
        <f t="shared" si="30"/>
        <v>#VALUE!</v>
      </c>
    </row>
    <row r="425" spans="2:12" x14ac:dyDescent="0.2">
      <c r="B425" s="254" t="s">
        <v>492</v>
      </c>
      <c r="C425" s="262" t="s">
        <v>575</v>
      </c>
      <c r="D425" s="262" t="s">
        <v>578</v>
      </c>
      <c r="E425" s="262" t="s">
        <v>521</v>
      </c>
      <c r="F425" s="263">
        <f t="shared" si="32"/>
        <v>123.16</v>
      </c>
      <c r="G425" s="263">
        <f t="shared" si="33"/>
        <v>1264</v>
      </c>
      <c r="H425" s="263">
        <f t="shared" si="34"/>
        <v>156.80000000000001</v>
      </c>
      <c r="I425" s="262" t="e">
        <f t="shared" si="27"/>
        <v>#VALUE!</v>
      </c>
      <c r="J425" s="262" t="e">
        <f t="shared" si="28"/>
        <v>#VALUE!</v>
      </c>
      <c r="K425" s="262" t="e">
        <f t="shared" si="29"/>
        <v>#VALUE!</v>
      </c>
      <c r="L425" s="276" t="e">
        <f t="shared" si="30"/>
        <v>#VALUE!</v>
      </c>
    </row>
    <row r="426" spans="2:12" x14ac:dyDescent="0.2">
      <c r="B426" s="254" t="s">
        <v>493</v>
      </c>
      <c r="C426" s="262" t="s">
        <v>579</v>
      </c>
      <c r="D426" s="262" t="s">
        <v>580</v>
      </c>
      <c r="E426" s="262" t="s">
        <v>522</v>
      </c>
      <c r="F426" s="263">
        <f t="shared" si="32"/>
        <v>123.16</v>
      </c>
      <c r="G426" s="263">
        <f t="shared" si="33"/>
        <v>1264</v>
      </c>
      <c r="H426" s="263">
        <f t="shared" si="34"/>
        <v>156.80000000000001</v>
      </c>
      <c r="I426" s="262" t="e">
        <f t="shared" si="27"/>
        <v>#VALUE!</v>
      </c>
      <c r="J426" s="262" t="e">
        <f t="shared" si="28"/>
        <v>#VALUE!</v>
      </c>
      <c r="K426" s="262" t="e">
        <f t="shared" si="29"/>
        <v>#VALUE!</v>
      </c>
      <c r="L426" s="276" t="e">
        <f t="shared" si="30"/>
        <v>#VALUE!</v>
      </c>
    </row>
    <row r="427" spans="2:12" x14ac:dyDescent="0.2">
      <c r="B427" s="254" t="s">
        <v>493</v>
      </c>
      <c r="C427" s="262" t="s">
        <v>579</v>
      </c>
      <c r="D427" s="262" t="s">
        <v>581</v>
      </c>
      <c r="E427" s="262" t="s">
        <v>523</v>
      </c>
      <c r="F427" s="263">
        <f t="shared" si="32"/>
        <v>123.16</v>
      </c>
      <c r="G427" s="263">
        <f t="shared" si="33"/>
        <v>1264</v>
      </c>
      <c r="H427" s="263">
        <f t="shared" si="34"/>
        <v>156.80000000000001</v>
      </c>
      <c r="I427" s="262" t="e">
        <f t="shared" si="27"/>
        <v>#VALUE!</v>
      </c>
      <c r="J427" s="262" t="e">
        <f t="shared" si="28"/>
        <v>#VALUE!</v>
      </c>
      <c r="K427" s="262" t="e">
        <f t="shared" si="29"/>
        <v>#VALUE!</v>
      </c>
      <c r="L427" s="276" t="e">
        <f t="shared" si="30"/>
        <v>#VALUE!</v>
      </c>
    </row>
    <row r="428" spans="2:12" x14ac:dyDescent="0.2">
      <c r="B428" s="254" t="s">
        <v>493</v>
      </c>
      <c r="C428" s="262" t="s">
        <v>579</v>
      </c>
      <c r="D428" s="262" t="s">
        <v>580</v>
      </c>
      <c r="E428" s="262" t="s">
        <v>522</v>
      </c>
      <c r="F428" s="263">
        <f t="shared" si="32"/>
        <v>123.16</v>
      </c>
      <c r="G428" s="263">
        <f t="shared" si="33"/>
        <v>1264</v>
      </c>
      <c r="H428" s="263">
        <f t="shared" si="34"/>
        <v>156.80000000000001</v>
      </c>
      <c r="I428" s="262" t="e">
        <f t="shared" si="27"/>
        <v>#VALUE!</v>
      </c>
      <c r="J428" s="262" t="e">
        <f t="shared" si="28"/>
        <v>#VALUE!</v>
      </c>
      <c r="K428" s="262" t="e">
        <f t="shared" si="29"/>
        <v>#VALUE!</v>
      </c>
      <c r="L428" s="276" t="e">
        <f t="shared" si="30"/>
        <v>#VALUE!</v>
      </c>
    </row>
    <row r="429" spans="2:12" x14ac:dyDescent="0.2">
      <c r="B429" s="254" t="s">
        <v>494</v>
      </c>
      <c r="C429" s="262" t="s">
        <v>575</v>
      </c>
      <c r="D429" s="262" t="s">
        <v>578</v>
      </c>
      <c r="E429" s="262" t="s">
        <v>521</v>
      </c>
      <c r="F429" s="263">
        <f t="shared" si="32"/>
        <v>123.16</v>
      </c>
      <c r="G429" s="263">
        <f t="shared" si="33"/>
        <v>1264</v>
      </c>
      <c r="H429" s="263">
        <f t="shared" si="34"/>
        <v>156.80000000000001</v>
      </c>
      <c r="I429" s="262" t="e">
        <f t="shared" si="27"/>
        <v>#VALUE!</v>
      </c>
      <c r="J429" s="262" t="e">
        <f t="shared" si="28"/>
        <v>#VALUE!</v>
      </c>
      <c r="K429" s="262" t="e">
        <f t="shared" si="29"/>
        <v>#VALUE!</v>
      </c>
      <c r="L429" s="276" t="e">
        <f t="shared" si="30"/>
        <v>#VALUE!</v>
      </c>
    </row>
    <row r="430" spans="2:12" x14ac:dyDescent="0.2">
      <c r="B430" s="254" t="s">
        <v>494</v>
      </c>
      <c r="C430" s="262" t="s">
        <v>575</v>
      </c>
      <c r="D430" s="262" t="s">
        <v>577</v>
      </c>
      <c r="E430" s="262" t="s">
        <v>520</v>
      </c>
      <c r="F430" s="263">
        <f t="shared" ref="F430:H433" si="35">F418</f>
        <v>123.16</v>
      </c>
      <c r="G430" s="263">
        <f t="shared" si="35"/>
        <v>1264</v>
      </c>
      <c r="H430" s="263">
        <f t="shared" si="35"/>
        <v>156.80000000000001</v>
      </c>
      <c r="I430" s="262" t="e">
        <f t="shared" si="27"/>
        <v>#VALUE!</v>
      </c>
      <c r="J430" s="262" t="e">
        <f t="shared" si="28"/>
        <v>#VALUE!</v>
      </c>
      <c r="K430" s="262" t="e">
        <f t="shared" si="29"/>
        <v>#VALUE!</v>
      </c>
      <c r="L430" s="276" t="e">
        <f t="shared" si="30"/>
        <v>#VALUE!</v>
      </c>
    </row>
    <row r="431" spans="2:12" x14ac:dyDescent="0.2">
      <c r="B431" s="254" t="s">
        <v>494</v>
      </c>
      <c r="C431" s="262" t="s">
        <v>575</v>
      </c>
      <c r="D431" s="262" t="s">
        <v>576</v>
      </c>
      <c r="E431" s="262" t="s">
        <v>519</v>
      </c>
      <c r="F431" s="263">
        <f t="shared" si="35"/>
        <v>123.16</v>
      </c>
      <c r="G431" s="263">
        <f t="shared" si="35"/>
        <v>1264</v>
      </c>
      <c r="H431" s="263">
        <f t="shared" si="35"/>
        <v>156.80000000000001</v>
      </c>
      <c r="I431" s="262" t="e">
        <f t="shared" si="27"/>
        <v>#VALUE!</v>
      </c>
      <c r="J431" s="262" t="e">
        <f t="shared" si="28"/>
        <v>#VALUE!</v>
      </c>
      <c r="K431" s="262" t="e">
        <f t="shared" si="29"/>
        <v>#VALUE!</v>
      </c>
      <c r="L431" s="276" t="e">
        <f t="shared" si="30"/>
        <v>#VALUE!</v>
      </c>
    </row>
    <row r="432" spans="2:12" x14ac:dyDescent="0.2">
      <c r="B432" s="254" t="s">
        <v>495</v>
      </c>
      <c r="C432" s="262" t="s">
        <v>564</v>
      </c>
      <c r="D432" s="262" t="s">
        <v>565</v>
      </c>
      <c r="E432" s="262" t="s">
        <v>511</v>
      </c>
      <c r="F432" s="263">
        <f t="shared" si="35"/>
        <v>123.16</v>
      </c>
      <c r="G432" s="263">
        <f t="shared" si="35"/>
        <v>1264</v>
      </c>
      <c r="H432" s="263">
        <f t="shared" si="35"/>
        <v>156.80000000000001</v>
      </c>
      <c r="I432" s="262" t="e">
        <f t="shared" si="27"/>
        <v>#VALUE!</v>
      </c>
      <c r="J432" s="262" t="e">
        <f t="shared" si="28"/>
        <v>#VALUE!</v>
      </c>
      <c r="K432" s="262" t="e">
        <f t="shared" si="29"/>
        <v>#VALUE!</v>
      </c>
      <c r="L432" s="276" t="e">
        <f t="shared" si="30"/>
        <v>#VALUE!</v>
      </c>
    </row>
    <row r="433" spans="2:12" x14ac:dyDescent="0.2">
      <c r="B433" s="254" t="s">
        <v>495</v>
      </c>
      <c r="C433" s="262" t="s">
        <v>564</v>
      </c>
      <c r="D433" s="262" t="s">
        <v>566</v>
      </c>
      <c r="E433" s="262" t="s">
        <v>512</v>
      </c>
      <c r="F433" s="263">
        <f t="shared" si="35"/>
        <v>123.16</v>
      </c>
      <c r="G433" s="263">
        <f t="shared" si="35"/>
        <v>1264</v>
      </c>
      <c r="H433" s="263">
        <f t="shared" si="35"/>
        <v>156.80000000000001</v>
      </c>
      <c r="I433" s="262" t="e">
        <f t="shared" si="27"/>
        <v>#VALUE!</v>
      </c>
      <c r="J433" s="262" t="e">
        <f t="shared" si="28"/>
        <v>#VALUE!</v>
      </c>
      <c r="K433" s="262" t="e">
        <f t="shared" si="29"/>
        <v>#VALUE!</v>
      </c>
      <c r="L433" s="276" t="e">
        <f t="shared" si="30"/>
        <v>#VALUE!</v>
      </c>
    </row>
    <row r="434" spans="2:12" x14ac:dyDescent="0.2">
      <c r="B434" s="254" t="s">
        <v>495</v>
      </c>
      <c r="C434" s="262" t="s">
        <v>564</v>
      </c>
      <c r="D434" s="262" t="s">
        <v>567</v>
      </c>
      <c r="E434" s="262" t="s">
        <v>513</v>
      </c>
      <c r="F434" s="263">
        <f t="shared" ref="F434:F479" si="36">$K$174</f>
        <v>123.16</v>
      </c>
      <c r="G434" s="263">
        <f t="shared" ref="G434:G479" si="37">$H$174</f>
        <v>1264</v>
      </c>
      <c r="H434" s="263">
        <f t="shared" ref="H434:H479" si="38">$J$174</f>
        <v>156.80000000000001</v>
      </c>
      <c r="I434" s="262" t="e">
        <f t="shared" si="27"/>
        <v>#VALUE!</v>
      </c>
      <c r="J434" s="262" t="e">
        <f t="shared" si="28"/>
        <v>#VALUE!</v>
      </c>
      <c r="K434" s="262" t="e">
        <f t="shared" si="29"/>
        <v>#VALUE!</v>
      </c>
      <c r="L434" s="276" t="e">
        <f t="shared" si="30"/>
        <v>#VALUE!</v>
      </c>
    </row>
    <row r="435" spans="2:12" x14ac:dyDescent="0.2">
      <c r="B435" s="254" t="s">
        <v>496</v>
      </c>
      <c r="C435" s="262" t="s">
        <v>568</v>
      </c>
      <c r="D435" s="262" t="s">
        <v>569</v>
      </c>
      <c r="E435" s="262" t="s">
        <v>514</v>
      </c>
      <c r="F435" s="263">
        <f t="shared" si="36"/>
        <v>123.16</v>
      </c>
      <c r="G435" s="263">
        <f t="shared" si="37"/>
        <v>1264</v>
      </c>
      <c r="H435" s="263">
        <f t="shared" si="38"/>
        <v>156.80000000000001</v>
      </c>
      <c r="I435" s="262" t="e">
        <f t="shared" si="27"/>
        <v>#VALUE!</v>
      </c>
      <c r="J435" s="262" t="e">
        <f t="shared" si="28"/>
        <v>#VALUE!</v>
      </c>
      <c r="K435" s="262" t="e">
        <f t="shared" si="29"/>
        <v>#VALUE!</v>
      </c>
      <c r="L435" s="276" t="e">
        <f t="shared" si="30"/>
        <v>#VALUE!</v>
      </c>
    </row>
    <row r="436" spans="2:12" x14ac:dyDescent="0.2">
      <c r="B436" s="254" t="s">
        <v>496</v>
      </c>
      <c r="C436" s="262" t="s">
        <v>568</v>
      </c>
      <c r="D436" s="262" t="s">
        <v>570</v>
      </c>
      <c r="E436" s="262" t="s">
        <v>515</v>
      </c>
      <c r="F436" s="263">
        <f t="shared" si="36"/>
        <v>123.16</v>
      </c>
      <c r="G436" s="263">
        <f t="shared" si="37"/>
        <v>1264</v>
      </c>
      <c r="H436" s="263">
        <f t="shared" si="38"/>
        <v>156.80000000000001</v>
      </c>
      <c r="I436" s="262" t="e">
        <f t="shared" si="27"/>
        <v>#VALUE!</v>
      </c>
      <c r="J436" s="262" t="e">
        <f t="shared" si="28"/>
        <v>#VALUE!</v>
      </c>
      <c r="K436" s="262" t="e">
        <f t="shared" si="29"/>
        <v>#VALUE!</v>
      </c>
      <c r="L436" s="276" t="e">
        <f t="shared" si="30"/>
        <v>#VALUE!</v>
      </c>
    </row>
    <row r="437" spans="2:12" x14ac:dyDescent="0.2">
      <c r="B437" s="254" t="s">
        <v>496</v>
      </c>
      <c r="C437" s="262" t="s">
        <v>568</v>
      </c>
      <c r="D437" s="262" t="s">
        <v>571</v>
      </c>
      <c r="E437" s="262" t="s">
        <v>516</v>
      </c>
      <c r="F437" s="263">
        <f t="shared" si="36"/>
        <v>123.16</v>
      </c>
      <c r="G437" s="263">
        <f t="shared" si="37"/>
        <v>1264</v>
      </c>
      <c r="H437" s="263">
        <f t="shared" si="38"/>
        <v>156.80000000000001</v>
      </c>
      <c r="I437" s="262" t="e">
        <f t="shared" si="27"/>
        <v>#VALUE!</v>
      </c>
      <c r="J437" s="262" t="e">
        <f t="shared" si="28"/>
        <v>#VALUE!</v>
      </c>
      <c r="K437" s="262" t="e">
        <f t="shared" si="29"/>
        <v>#VALUE!</v>
      </c>
      <c r="L437" s="276" t="e">
        <f t="shared" si="30"/>
        <v>#VALUE!</v>
      </c>
    </row>
    <row r="438" spans="2:12" x14ac:dyDescent="0.2">
      <c r="B438" s="254" t="s">
        <v>497</v>
      </c>
      <c r="C438" s="262" t="s">
        <v>568</v>
      </c>
      <c r="D438" s="262" t="s">
        <v>572</v>
      </c>
      <c r="E438" s="262" t="s">
        <v>516</v>
      </c>
      <c r="F438" s="263">
        <f t="shared" si="36"/>
        <v>123.16</v>
      </c>
      <c r="G438" s="263">
        <f t="shared" si="37"/>
        <v>1264</v>
      </c>
      <c r="H438" s="263">
        <f t="shared" si="38"/>
        <v>156.80000000000001</v>
      </c>
      <c r="I438" s="262" t="e">
        <f t="shared" si="27"/>
        <v>#VALUE!</v>
      </c>
      <c r="J438" s="262" t="e">
        <f t="shared" si="28"/>
        <v>#VALUE!</v>
      </c>
      <c r="K438" s="262" t="e">
        <f t="shared" si="29"/>
        <v>#VALUE!</v>
      </c>
      <c r="L438" s="276" t="e">
        <f t="shared" si="30"/>
        <v>#VALUE!</v>
      </c>
    </row>
    <row r="439" spans="2:12" x14ac:dyDescent="0.2">
      <c r="B439" s="254" t="s">
        <v>497</v>
      </c>
      <c r="C439" s="262" t="s">
        <v>568</v>
      </c>
      <c r="D439" s="262" t="s">
        <v>573</v>
      </c>
      <c r="E439" s="262" t="s">
        <v>517</v>
      </c>
      <c r="F439" s="263">
        <f t="shared" si="36"/>
        <v>123.16</v>
      </c>
      <c r="G439" s="263">
        <f t="shared" si="37"/>
        <v>1264</v>
      </c>
      <c r="H439" s="263">
        <f t="shared" si="38"/>
        <v>156.80000000000001</v>
      </c>
      <c r="I439" s="262" t="e">
        <f t="shared" si="27"/>
        <v>#VALUE!</v>
      </c>
      <c r="J439" s="262" t="e">
        <f t="shared" si="28"/>
        <v>#VALUE!</v>
      </c>
      <c r="K439" s="262" t="e">
        <f t="shared" si="29"/>
        <v>#VALUE!</v>
      </c>
      <c r="L439" s="276" t="e">
        <f t="shared" si="30"/>
        <v>#VALUE!</v>
      </c>
    </row>
    <row r="440" spans="2:12" x14ac:dyDescent="0.2">
      <c r="B440" s="254" t="s">
        <v>497</v>
      </c>
      <c r="C440" s="262" t="s">
        <v>568</v>
      </c>
      <c r="D440" s="262" t="s">
        <v>573</v>
      </c>
      <c r="E440" s="262" t="s">
        <v>517</v>
      </c>
      <c r="F440" s="263">
        <f t="shared" si="36"/>
        <v>123.16</v>
      </c>
      <c r="G440" s="263">
        <f t="shared" si="37"/>
        <v>1264</v>
      </c>
      <c r="H440" s="263">
        <f t="shared" si="38"/>
        <v>156.80000000000001</v>
      </c>
      <c r="I440" s="262" t="e">
        <f t="shared" ref="I440:I479" si="39">+ABS(C440)/F440</f>
        <v>#VALUE!</v>
      </c>
      <c r="J440" s="262" t="e">
        <f t="shared" ref="J440:J479" si="40">+(ABS(D440)/G440+ABS(E440)/H440)*100</f>
        <v>#VALUE!</v>
      </c>
      <c r="K440" s="262" t="e">
        <f t="shared" ref="K440:K479" si="41">+ABS(J440)+ABS(I440)</f>
        <v>#VALUE!</v>
      </c>
      <c r="L440" s="276" t="e">
        <f t="shared" ref="L440:L479" si="42">IF(AND(ABS(K440)&lt;$D$13,ABS(J440)&lt;$D$14),"OK !", "Check !")</f>
        <v>#VALUE!</v>
      </c>
    </row>
    <row r="441" spans="2:12" x14ac:dyDescent="0.2">
      <c r="B441" s="254" t="s">
        <v>498</v>
      </c>
      <c r="C441" s="262" t="s">
        <v>568</v>
      </c>
      <c r="D441" s="262" t="s">
        <v>573</v>
      </c>
      <c r="E441" s="262" t="s">
        <v>517</v>
      </c>
      <c r="F441" s="263">
        <f t="shared" si="36"/>
        <v>123.16</v>
      </c>
      <c r="G441" s="263">
        <f t="shared" si="37"/>
        <v>1264</v>
      </c>
      <c r="H441" s="263">
        <f t="shared" si="38"/>
        <v>156.80000000000001</v>
      </c>
      <c r="I441" s="262" t="e">
        <f t="shared" si="39"/>
        <v>#VALUE!</v>
      </c>
      <c r="J441" s="262" t="e">
        <f t="shared" si="40"/>
        <v>#VALUE!</v>
      </c>
      <c r="K441" s="262" t="e">
        <f t="shared" si="41"/>
        <v>#VALUE!</v>
      </c>
      <c r="L441" s="276" t="e">
        <f t="shared" si="42"/>
        <v>#VALUE!</v>
      </c>
    </row>
    <row r="442" spans="2:12" x14ac:dyDescent="0.2">
      <c r="B442" s="254" t="s">
        <v>498</v>
      </c>
      <c r="C442" s="262" t="s">
        <v>568</v>
      </c>
      <c r="D442" s="262" t="s">
        <v>573</v>
      </c>
      <c r="E442" s="262" t="s">
        <v>517</v>
      </c>
      <c r="F442" s="263">
        <f t="shared" si="36"/>
        <v>123.16</v>
      </c>
      <c r="G442" s="263">
        <f t="shared" si="37"/>
        <v>1264</v>
      </c>
      <c r="H442" s="263">
        <f t="shared" si="38"/>
        <v>156.80000000000001</v>
      </c>
      <c r="I442" s="262" t="e">
        <f t="shared" si="39"/>
        <v>#VALUE!</v>
      </c>
      <c r="J442" s="262" t="e">
        <f t="shared" si="40"/>
        <v>#VALUE!</v>
      </c>
      <c r="K442" s="262" t="e">
        <f t="shared" si="41"/>
        <v>#VALUE!</v>
      </c>
      <c r="L442" s="276" t="e">
        <f t="shared" si="42"/>
        <v>#VALUE!</v>
      </c>
    </row>
    <row r="443" spans="2:12" x14ac:dyDescent="0.2">
      <c r="B443" s="254" t="s">
        <v>498</v>
      </c>
      <c r="C443" s="262" t="s">
        <v>568</v>
      </c>
      <c r="D443" s="262" t="s">
        <v>573</v>
      </c>
      <c r="E443" s="262" t="s">
        <v>517</v>
      </c>
      <c r="F443" s="263">
        <f t="shared" si="36"/>
        <v>123.16</v>
      </c>
      <c r="G443" s="263">
        <f t="shared" si="37"/>
        <v>1264</v>
      </c>
      <c r="H443" s="263">
        <f t="shared" si="38"/>
        <v>156.80000000000001</v>
      </c>
      <c r="I443" s="262" t="e">
        <f t="shared" si="39"/>
        <v>#VALUE!</v>
      </c>
      <c r="J443" s="262" t="e">
        <f t="shared" si="40"/>
        <v>#VALUE!</v>
      </c>
      <c r="K443" s="262" t="e">
        <f t="shared" si="41"/>
        <v>#VALUE!</v>
      </c>
      <c r="L443" s="276" t="e">
        <f t="shared" si="42"/>
        <v>#VALUE!</v>
      </c>
    </row>
    <row r="444" spans="2:12" x14ac:dyDescent="0.2">
      <c r="B444" s="254" t="s">
        <v>499</v>
      </c>
      <c r="C444" s="262" t="s">
        <v>564</v>
      </c>
      <c r="D444" s="262" t="s">
        <v>573</v>
      </c>
      <c r="E444" s="262" t="s">
        <v>517</v>
      </c>
      <c r="F444" s="263">
        <f t="shared" si="36"/>
        <v>123.16</v>
      </c>
      <c r="G444" s="263">
        <f t="shared" si="37"/>
        <v>1264</v>
      </c>
      <c r="H444" s="263">
        <f t="shared" si="38"/>
        <v>156.80000000000001</v>
      </c>
      <c r="I444" s="262" t="e">
        <f t="shared" si="39"/>
        <v>#VALUE!</v>
      </c>
      <c r="J444" s="262" t="e">
        <f t="shared" si="40"/>
        <v>#VALUE!</v>
      </c>
      <c r="K444" s="262" t="e">
        <f t="shared" si="41"/>
        <v>#VALUE!</v>
      </c>
      <c r="L444" s="276" t="e">
        <f t="shared" si="42"/>
        <v>#VALUE!</v>
      </c>
    </row>
    <row r="445" spans="2:12" x14ac:dyDescent="0.2">
      <c r="B445" s="254" t="s">
        <v>499</v>
      </c>
      <c r="C445" s="262" t="s">
        <v>564</v>
      </c>
      <c r="D445" s="262" t="s">
        <v>573</v>
      </c>
      <c r="E445" s="262" t="s">
        <v>517</v>
      </c>
      <c r="F445" s="263">
        <f t="shared" si="36"/>
        <v>123.16</v>
      </c>
      <c r="G445" s="263">
        <f t="shared" si="37"/>
        <v>1264</v>
      </c>
      <c r="H445" s="263">
        <f t="shared" si="38"/>
        <v>156.80000000000001</v>
      </c>
      <c r="I445" s="262" t="e">
        <f t="shared" si="39"/>
        <v>#VALUE!</v>
      </c>
      <c r="J445" s="262" t="e">
        <f t="shared" si="40"/>
        <v>#VALUE!</v>
      </c>
      <c r="K445" s="262" t="e">
        <f t="shared" si="41"/>
        <v>#VALUE!</v>
      </c>
      <c r="L445" s="276" t="e">
        <f t="shared" si="42"/>
        <v>#VALUE!</v>
      </c>
    </row>
    <row r="446" spans="2:12" x14ac:dyDescent="0.2">
      <c r="B446" s="254" t="s">
        <v>499</v>
      </c>
      <c r="C446" s="262" t="s">
        <v>564</v>
      </c>
      <c r="D446" s="262" t="s">
        <v>573</v>
      </c>
      <c r="E446" s="262" t="s">
        <v>517</v>
      </c>
      <c r="F446" s="263">
        <f t="shared" si="36"/>
        <v>123.16</v>
      </c>
      <c r="G446" s="263">
        <f t="shared" si="37"/>
        <v>1264</v>
      </c>
      <c r="H446" s="263">
        <f t="shared" si="38"/>
        <v>156.80000000000001</v>
      </c>
      <c r="I446" s="262" t="e">
        <f t="shared" si="39"/>
        <v>#VALUE!</v>
      </c>
      <c r="J446" s="262" t="e">
        <f t="shared" si="40"/>
        <v>#VALUE!</v>
      </c>
      <c r="K446" s="262" t="e">
        <f t="shared" si="41"/>
        <v>#VALUE!</v>
      </c>
      <c r="L446" s="276" t="e">
        <f t="shared" si="42"/>
        <v>#VALUE!</v>
      </c>
    </row>
    <row r="447" spans="2:12" x14ac:dyDescent="0.2">
      <c r="B447" s="254" t="s">
        <v>500</v>
      </c>
      <c r="C447" s="262" t="s">
        <v>575</v>
      </c>
      <c r="D447" s="262" t="s">
        <v>573</v>
      </c>
      <c r="E447" s="262" t="s">
        <v>517</v>
      </c>
      <c r="F447" s="263">
        <f t="shared" si="36"/>
        <v>123.16</v>
      </c>
      <c r="G447" s="263">
        <f t="shared" si="37"/>
        <v>1264</v>
      </c>
      <c r="H447" s="263">
        <f t="shared" si="38"/>
        <v>156.80000000000001</v>
      </c>
      <c r="I447" s="262" t="e">
        <f t="shared" si="39"/>
        <v>#VALUE!</v>
      </c>
      <c r="J447" s="262" t="e">
        <f t="shared" si="40"/>
        <v>#VALUE!</v>
      </c>
      <c r="K447" s="262" t="e">
        <f t="shared" si="41"/>
        <v>#VALUE!</v>
      </c>
      <c r="L447" s="276" t="e">
        <f t="shared" si="42"/>
        <v>#VALUE!</v>
      </c>
    </row>
    <row r="448" spans="2:12" x14ac:dyDescent="0.2">
      <c r="B448" s="254" t="s">
        <v>500</v>
      </c>
      <c r="C448" s="262" t="s">
        <v>575</v>
      </c>
      <c r="D448" s="262" t="s">
        <v>573</v>
      </c>
      <c r="E448" s="262" t="s">
        <v>517</v>
      </c>
      <c r="F448" s="263">
        <f t="shared" si="36"/>
        <v>123.16</v>
      </c>
      <c r="G448" s="263">
        <f t="shared" si="37"/>
        <v>1264</v>
      </c>
      <c r="H448" s="263">
        <f t="shared" si="38"/>
        <v>156.80000000000001</v>
      </c>
      <c r="I448" s="262" t="e">
        <f t="shared" si="39"/>
        <v>#VALUE!</v>
      </c>
      <c r="J448" s="262" t="e">
        <f t="shared" si="40"/>
        <v>#VALUE!</v>
      </c>
      <c r="K448" s="262" t="e">
        <f t="shared" si="41"/>
        <v>#VALUE!</v>
      </c>
      <c r="L448" s="276" t="e">
        <f t="shared" si="42"/>
        <v>#VALUE!</v>
      </c>
    </row>
    <row r="449" spans="2:12" x14ac:dyDescent="0.2">
      <c r="B449" s="254" t="s">
        <v>500</v>
      </c>
      <c r="C449" s="262" t="s">
        <v>575</v>
      </c>
      <c r="D449" s="262" t="s">
        <v>573</v>
      </c>
      <c r="E449" s="262" t="s">
        <v>517</v>
      </c>
      <c r="F449" s="263">
        <f t="shared" si="36"/>
        <v>123.16</v>
      </c>
      <c r="G449" s="263">
        <f t="shared" si="37"/>
        <v>1264</v>
      </c>
      <c r="H449" s="263">
        <f t="shared" si="38"/>
        <v>156.80000000000001</v>
      </c>
      <c r="I449" s="262" t="e">
        <f t="shared" si="39"/>
        <v>#VALUE!</v>
      </c>
      <c r="J449" s="262" t="e">
        <f t="shared" si="40"/>
        <v>#VALUE!</v>
      </c>
      <c r="K449" s="262" t="e">
        <f t="shared" si="41"/>
        <v>#VALUE!</v>
      </c>
      <c r="L449" s="276" t="e">
        <f t="shared" si="42"/>
        <v>#VALUE!</v>
      </c>
    </row>
    <row r="450" spans="2:12" x14ac:dyDescent="0.2">
      <c r="B450" s="254" t="s">
        <v>501</v>
      </c>
      <c r="C450" s="262" t="s">
        <v>579</v>
      </c>
      <c r="D450" s="262" t="s">
        <v>573</v>
      </c>
      <c r="E450" s="262" t="s">
        <v>517</v>
      </c>
      <c r="F450" s="263">
        <f t="shared" si="36"/>
        <v>123.16</v>
      </c>
      <c r="G450" s="263">
        <f t="shared" si="37"/>
        <v>1264</v>
      </c>
      <c r="H450" s="263">
        <f t="shared" si="38"/>
        <v>156.80000000000001</v>
      </c>
      <c r="I450" s="262" t="e">
        <f t="shared" si="39"/>
        <v>#VALUE!</v>
      </c>
      <c r="J450" s="262" t="e">
        <f t="shared" si="40"/>
        <v>#VALUE!</v>
      </c>
      <c r="K450" s="262" t="e">
        <f t="shared" si="41"/>
        <v>#VALUE!</v>
      </c>
      <c r="L450" s="276" t="e">
        <f t="shared" si="42"/>
        <v>#VALUE!</v>
      </c>
    </row>
    <row r="451" spans="2:12" x14ac:dyDescent="0.2">
      <c r="B451" s="254" t="s">
        <v>501</v>
      </c>
      <c r="C451" s="262" t="s">
        <v>579</v>
      </c>
      <c r="D451" s="262" t="s">
        <v>573</v>
      </c>
      <c r="E451" s="262" t="s">
        <v>517</v>
      </c>
      <c r="F451" s="263">
        <f t="shared" si="36"/>
        <v>123.16</v>
      </c>
      <c r="G451" s="263">
        <f t="shared" si="37"/>
        <v>1264</v>
      </c>
      <c r="H451" s="263">
        <f t="shared" si="38"/>
        <v>156.80000000000001</v>
      </c>
      <c r="I451" s="262" t="e">
        <f t="shared" si="39"/>
        <v>#VALUE!</v>
      </c>
      <c r="J451" s="262" t="e">
        <f t="shared" si="40"/>
        <v>#VALUE!</v>
      </c>
      <c r="K451" s="262" t="e">
        <f t="shared" si="41"/>
        <v>#VALUE!</v>
      </c>
      <c r="L451" s="276" t="e">
        <f t="shared" si="42"/>
        <v>#VALUE!</v>
      </c>
    </row>
    <row r="452" spans="2:12" x14ac:dyDescent="0.2">
      <c r="B452" s="254" t="s">
        <v>501</v>
      </c>
      <c r="C452" s="262" t="s">
        <v>579</v>
      </c>
      <c r="D452" s="262" t="s">
        <v>573</v>
      </c>
      <c r="E452" s="262" t="s">
        <v>517</v>
      </c>
      <c r="F452" s="263">
        <f t="shared" si="36"/>
        <v>123.16</v>
      </c>
      <c r="G452" s="263">
        <f t="shared" si="37"/>
        <v>1264</v>
      </c>
      <c r="H452" s="263">
        <f t="shared" si="38"/>
        <v>156.80000000000001</v>
      </c>
      <c r="I452" s="262" t="e">
        <f t="shared" si="39"/>
        <v>#VALUE!</v>
      </c>
      <c r="J452" s="262" t="e">
        <f t="shared" si="40"/>
        <v>#VALUE!</v>
      </c>
      <c r="K452" s="262" t="e">
        <f t="shared" si="41"/>
        <v>#VALUE!</v>
      </c>
      <c r="L452" s="276" t="e">
        <f t="shared" si="42"/>
        <v>#VALUE!</v>
      </c>
    </row>
    <row r="453" spans="2:12" x14ac:dyDescent="0.2">
      <c r="B453" s="254" t="s">
        <v>502</v>
      </c>
      <c r="C453" s="262" t="s">
        <v>575</v>
      </c>
      <c r="D453" s="262" t="s">
        <v>573</v>
      </c>
      <c r="E453" s="262" t="s">
        <v>517</v>
      </c>
      <c r="F453" s="263">
        <f t="shared" si="36"/>
        <v>123.16</v>
      </c>
      <c r="G453" s="263">
        <f t="shared" si="37"/>
        <v>1264</v>
      </c>
      <c r="H453" s="263">
        <f t="shared" si="38"/>
        <v>156.80000000000001</v>
      </c>
      <c r="I453" s="262" t="e">
        <f t="shared" si="39"/>
        <v>#VALUE!</v>
      </c>
      <c r="J453" s="262" t="e">
        <f t="shared" si="40"/>
        <v>#VALUE!</v>
      </c>
      <c r="K453" s="262" t="e">
        <f t="shared" si="41"/>
        <v>#VALUE!</v>
      </c>
      <c r="L453" s="276" t="e">
        <f t="shared" si="42"/>
        <v>#VALUE!</v>
      </c>
    </row>
    <row r="454" spans="2:12" x14ac:dyDescent="0.2">
      <c r="B454" s="254" t="s">
        <v>502</v>
      </c>
      <c r="C454" s="262" t="s">
        <v>575</v>
      </c>
      <c r="D454" s="262" t="s">
        <v>573</v>
      </c>
      <c r="E454" s="262" t="s">
        <v>517</v>
      </c>
      <c r="F454" s="263">
        <f t="shared" si="36"/>
        <v>123.16</v>
      </c>
      <c r="G454" s="263">
        <f t="shared" si="37"/>
        <v>1264</v>
      </c>
      <c r="H454" s="263">
        <f t="shared" si="38"/>
        <v>156.80000000000001</v>
      </c>
      <c r="I454" s="262" t="e">
        <f t="shared" si="39"/>
        <v>#VALUE!</v>
      </c>
      <c r="J454" s="262" t="e">
        <f t="shared" si="40"/>
        <v>#VALUE!</v>
      </c>
      <c r="K454" s="262" t="e">
        <f t="shared" si="41"/>
        <v>#VALUE!</v>
      </c>
      <c r="L454" s="276" t="e">
        <f t="shared" si="42"/>
        <v>#VALUE!</v>
      </c>
    </row>
    <row r="455" spans="2:12" x14ac:dyDescent="0.2">
      <c r="B455" s="254" t="s">
        <v>502</v>
      </c>
      <c r="C455" s="262" t="s">
        <v>575</v>
      </c>
      <c r="D455" s="262" t="s">
        <v>573</v>
      </c>
      <c r="E455" s="262" t="s">
        <v>517</v>
      </c>
      <c r="F455" s="263">
        <f t="shared" si="36"/>
        <v>123.16</v>
      </c>
      <c r="G455" s="263">
        <f t="shared" si="37"/>
        <v>1264</v>
      </c>
      <c r="H455" s="263">
        <f t="shared" si="38"/>
        <v>156.80000000000001</v>
      </c>
      <c r="I455" s="262" t="e">
        <f t="shared" si="39"/>
        <v>#VALUE!</v>
      </c>
      <c r="J455" s="262" t="e">
        <f t="shared" si="40"/>
        <v>#VALUE!</v>
      </c>
      <c r="K455" s="262" t="e">
        <f t="shared" si="41"/>
        <v>#VALUE!</v>
      </c>
      <c r="L455" s="276" t="e">
        <f t="shared" si="42"/>
        <v>#VALUE!</v>
      </c>
    </row>
    <row r="456" spans="2:12" x14ac:dyDescent="0.2">
      <c r="B456" s="254" t="s">
        <v>503</v>
      </c>
      <c r="C456" s="262" t="s">
        <v>582</v>
      </c>
      <c r="D456" s="262" t="s">
        <v>573</v>
      </c>
      <c r="E456" s="262" t="s">
        <v>517</v>
      </c>
      <c r="F456" s="263">
        <f t="shared" si="36"/>
        <v>123.16</v>
      </c>
      <c r="G456" s="263">
        <f t="shared" si="37"/>
        <v>1264</v>
      </c>
      <c r="H456" s="263">
        <f t="shared" si="38"/>
        <v>156.80000000000001</v>
      </c>
      <c r="I456" s="262" t="e">
        <f t="shared" si="39"/>
        <v>#VALUE!</v>
      </c>
      <c r="J456" s="262" t="e">
        <f t="shared" si="40"/>
        <v>#VALUE!</v>
      </c>
      <c r="K456" s="262" t="e">
        <f t="shared" si="41"/>
        <v>#VALUE!</v>
      </c>
      <c r="L456" s="276" t="e">
        <f t="shared" si="42"/>
        <v>#VALUE!</v>
      </c>
    </row>
    <row r="457" spans="2:12" x14ac:dyDescent="0.2">
      <c r="B457" s="254" t="s">
        <v>503</v>
      </c>
      <c r="C457" s="262" t="s">
        <v>582</v>
      </c>
      <c r="D457" s="262" t="s">
        <v>573</v>
      </c>
      <c r="E457" s="262" t="s">
        <v>517</v>
      </c>
      <c r="F457" s="263">
        <f t="shared" si="36"/>
        <v>123.16</v>
      </c>
      <c r="G457" s="263">
        <f t="shared" si="37"/>
        <v>1264</v>
      </c>
      <c r="H457" s="263">
        <f t="shared" si="38"/>
        <v>156.80000000000001</v>
      </c>
      <c r="I457" s="262" t="e">
        <f t="shared" si="39"/>
        <v>#VALUE!</v>
      </c>
      <c r="J457" s="262" t="e">
        <f t="shared" si="40"/>
        <v>#VALUE!</v>
      </c>
      <c r="K457" s="262" t="e">
        <f t="shared" si="41"/>
        <v>#VALUE!</v>
      </c>
      <c r="L457" s="276" t="e">
        <f t="shared" si="42"/>
        <v>#VALUE!</v>
      </c>
    </row>
    <row r="458" spans="2:12" x14ac:dyDescent="0.2">
      <c r="B458" s="254" t="s">
        <v>503</v>
      </c>
      <c r="C458" s="262" t="s">
        <v>582</v>
      </c>
      <c r="D458" s="262" t="s">
        <v>573</v>
      </c>
      <c r="E458" s="262" t="s">
        <v>517</v>
      </c>
      <c r="F458" s="263">
        <f t="shared" si="36"/>
        <v>123.16</v>
      </c>
      <c r="G458" s="263">
        <f t="shared" si="37"/>
        <v>1264</v>
      </c>
      <c r="H458" s="263">
        <f t="shared" si="38"/>
        <v>156.80000000000001</v>
      </c>
      <c r="I458" s="262" t="e">
        <f t="shared" si="39"/>
        <v>#VALUE!</v>
      </c>
      <c r="J458" s="262" t="e">
        <f t="shared" si="40"/>
        <v>#VALUE!</v>
      </c>
      <c r="K458" s="262" t="e">
        <f t="shared" si="41"/>
        <v>#VALUE!</v>
      </c>
      <c r="L458" s="276" t="e">
        <f t="shared" si="42"/>
        <v>#VALUE!</v>
      </c>
    </row>
    <row r="459" spans="2:12" x14ac:dyDescent="0.2">
      <c r="B459" s="254" t="s">
        <v>504</v>
      </c>
      <c r="C459" s="262" t="s">
        <v>583</v>
      </c>
      <c r="D459" s="262" t="s">
        <v>573</v>
      </c>
      <c r="E459" s="262" t="s">
        <v>517</v>
      </c>
      <c r="F459" s="263">
        <f t="shared" ref="F459:F464" si="43">$K$176</f>
        <v>61.58</v>
      </c>
      <c r="G459" s="263">
        <f t="shared" ref="G459:G464" si="44">$H$176</f>
        <v>632</v>
      </c>
      <c r="H459" s="263">
        <f t="shared" ref="H459:H464" si="45">$J$176</f>
        <v>78.400000000000006</v>
      </c>
      <c r="I459" s="262" t="e">
        <f t="shared" si="39"/>
        <v>#VALUE!</v>
      </c>
      <c r="J459" s="262" t="e">
        <f t="shared" si="40"/>
        <v>#VALUE!</v>
      </c>
      <c r="K459" s="262" t="e">
        <f t="shared" si="41"/>
        <v>#VALUE!</v>
      </c>
      <c r="L459" s="276" t="e">
        <f t="shared" si="42"/>
        <v>#VALUE!</v>
      </c>
    </row>
    <row r="460" spans="2:12" x14ac:dyDescent="0.2">
      <c r="B460" s="254" t="s">
        <v>504</v>
      </c>
      <c r="C460" s="262" t="s">
        <v>583</v>
      </c>
      <c r="D460" s="262" t="s">
        <v>573</v>
      </c>
      <c r="E460" s="262" t="s">
        <v>517</v>
      </c>
      <c r="F460" s="263">
        <f t="shared" si="43"/>
        <v>61.58</v>
      </c>
      <c r="G460" s="263">
        <f t="shared" si="44"/>
        <v>632</v>
      </c>
      <c r="H460" s="263">
        <f t="shared" si="45"/>
        <v>78.400000000000006</v>
      </c>
      <c r="I460" s="262" t="e">
        <f t="shared" si="39"/>
        <v>#VALUE!</v>
      </c>
      <c r="J460" s="262" t="e">
        <f t="shared" si="40"/>
        <v>#VALUE!</v>
      </c>
      <c r="K460" s="262" t="e">
        <f t="shared" si="41"/>
        <v>#VALUE!</v>
      </c>
      <c r="L460" s="276" t="e">
        <f t="shared" si="42"/>
        <v>#VALUE!</v>
      </c>
    </row>
    <row r="461" spans="2:12" x14ac:dyDescent="0.2">
      <c r="B461" s="254" t="s">
        <v>504</v>
      </c>
      <c r="C461" s="262" t="s">
        <v>583</v>
      </c>
      <c r="D461" s="262" t="s">
        <v>573</v>
      </c>
      <c r="E461" s="262" t="s">
        <v>517</v>
      </c>
      <c r="F461" s="263">
        <f t="shared" si="43"/>
        <v>61.58</v>
      </c>
      <c r="G461" s="263">
        <f t="shared" si="44"/>
        <v>632</v>
      </c>
      <c r="H461" s="263">
        <f t="shared" si="45"/>
        <v>78.400000000000006</v>
      </c>
      <c r="I461" s="262" t="e">
        <f t="shared" si="39"/>
        <v>#VALUE!</v>
      </c>
      <c r="J461" s="262" t="e">
        <f t="shared" si="40"/>
        <v>#VALUE!</v>
      </c>
      <c r="K461" s="262" t="e">
        <f t="shared" si="41"/>
        <v>#VALUE!</v>
      </c>
      <c r="L461" s="276" t="e">
        <f t="shared" si="42"/>
        <v>#VALUE!</v>
      </c>
    </row>
    <row r="462" spans="2:12" x14ac:dyDescent="0.2">
      <c r="B462" s="254" t="s">
        <v>505</v>
      </c>
      <c r="C462" s="262" t="s">
        <v>583</v>
      </c>
      <c r="D462" s="262" t="s">
        <v>573</v>
      </c>
      <c r="E462" s="262" t="s">
        <v>517</v>
      </c>
      <c r="F462" s="263">
        <f t="shared" si="43"/>
        <v>61.58</v>
      </c>
      <c r="G462" s="263">
        <f t="shared" si="44"/>
        <v>632</v>
      </c>
      <c r="H462" s="263">
        <f t="shared" si="45"/>
        <v>78.400000000000006</v>
      </c>
      <c r="I462" s="262" t="e">
        <f t="shared" si="39"/>
        <v>#VALUE!</v>
      </c>
      <c r="J462" s="262" t="e">
        <f t="shared" si="40"/>
        <v>#VALUE!</v>
      </c>
      <c r="K462" s="262" t="e">
        <f t="shared" si="41"/>
        <v>#VALUE!</v>
      </c>
      <c r="L462" s="276" t="e">
        <f t="shared" si="42"/>
        <v>#VALUE!</v>
      </c>
    </row>
    <row r="463" spans="2:12" x14ac:dyDescent="0.2">
      <c r="B463" s="254" t="s">
        <v>505</v>
      </c>
      <c r="C463" s="262" t="s">
        <v>583</v>
      </c>
      <c r="D463" s="262" t="s">
        <v>573</v>
      </c>
      <c r="E463" s="262" t="s">
        <v>517</v>
      </c>
      <c r="F463" s="263">
        <f t="shared" si="43"/>
        <v>61.58</v>
      </c>
      <c r="G463" s="263">
        <f t="shared" si="44"/>
        <v>632</v>
      </c>
      <c r="H463" s="263">
        <f t="shared" si="45"/>
        <v>78.400000000000006</v>
      </c>
      <c r="I463" s="262" t="e">
        <f t="shared" si="39"/>
        <v>#VALUE!</v>
      </c>
      <c r="J463" s="262" t="e">
        <f t="shared" si="40"/>
        <v>#VALUE!</v>
      </c>
      <c r="K463" s="262" t="e">
        <f t="shared" si="41"/>
        <v>#VALUE!</v>
      </c>
      <c r="L463" s="276" t="e">
        <f t="shared" si="42"/>
        <v>#VALUE!</v>
      </c>
    </row>
    <row r="464" spans="2:12" x14ac:dyDescent="0.2">
      <c r="B464" s="254" t="s">
        <v>505</v>
      </c>
      <c r="C464" s="262" t="s">
        <v>583</v>
      </c>
      <c r="D464" s="262" t="s">
        <v>573</v>
      </c>
      <c r="E464" s="262" t="s">
        <v>517</v>
      </c>
      <c r="F464" s="263">
        <f t="shared" si="43"/>
        <v>61.58</v>
      </c>
      <c r="G464" s="263">
        <f t="shared" si="44"/>
        <v>632</v>
      </c>
      <c r="H464" s="263">
        <f t="shared" si="45"/>
        <v>78.400000000000006</v>
      </c>
      <c r="I464" s="262" t="e">
        <f t="shared" si="39"/>
        <v>#VALUE!</v>
      </c>
      <c r="J464" s="262" t="e">
        <f t="shared" si="40"/>
        <v>#VALUE!</v>
      </c>
      <c r="K464" s="262" t="e">
        <f t="shared" si="41"/>
        <v>#VALUE!</v>
      </c>
      <c r="L464" s="276" t="e">
        <f t="shared" si="42"/>
        <v>#VALUE!</v>
      </c>
    </row>
    <row r="465" spans="1:13" x14ac:dyDescent="0.2">
      <c r="B465" s="254" t="s">
        <v>506</v>
      </c>
      <c r="C465" s="262" t="s">
        <v>582</v>
      </c>
      <c r="D465" s="262" t="s">
        <v>573</v>
      </c>
      <c r="E465" s="262" t="s">
        <v>517</v>
      </c>
      <c r="F465" s="263">
        <f t="shared" si="36"/>
        <v>123.16</v>
      </c>
      <c r="G465" s="263">
        <f t="shared" si="37"/>
        <v>1264</v>
      </c>
      <c r="H465" s="263">
        <f t="shared" si="38"/>
        <v>156.80000000000001</v>
      </c>
      <c r="I465" s="262" t="e">
        <f t="shared" si="39"/>
        <v>#VALUE!</v>
      </c>
      <c r="J465" s="262" t="e">
        <f t="shared" si="40"/>
        <v>#VALUE!</v>
      </c>
      <c r="K465" s="262" t="e">
        <f t="shared" si="41"/>
        <v>#VALUE!</v>
      </c>
      <c r="L465" s="276" t="e">
        <f t="shared" si="42"/>
        <v>#VALUE!</v>
      </c>
    </row>
    <row r="466" spans="1:13" x14ac:dyDescent="0.2">
      <c r="B466" s="254" t="s">
        <v>506</v>
      </c>
      <c r="C466" s="262" t="s">
        <v>582</v>
      </c>
      <c r="D466" s="262" t="s">
        <v>573</v>
      </c>
      <c r="E466" s="262" t="s">
        <v>517</v>
      </c>
      <c r="F466" s="263">
        <f t="shared" si="36"/>
        <v>123.16</v>
      </c>
      <c r="G466" s="263">
        <f t="shared" si="37"/>
        <v>1264</v>
      </c>
      <c r="H466" s="263">
        <f t="shared" si="38"/>
        <v>156.80000000000001</v>
      </c>
      <c r="I466" s="262" t="e">
        <f t="shared" si="39"/>
        <v>#VALUE!</v>
      </c>
      <c r="J466" s="262" t="e">
        <f t="shared" si="40"/>
        <v>#VALUE!</v>
      </c>
      <c r="K466" s="262" t="e">
        <f t="shared" si="41"/>
        <v>#VALUE!</v>
      </c>
      <c r="L466" s="276" t="e">
        <f t="shared" si="42"/>
        <v>#VALUE!</v>
      </c>
    </row>
    <row r="467" spans="1:13" x14ac:dyDescent="0.2">
      <c r="B467" s="254" t="s">
        <v>506</v>
      </c>
      <c r="C467" s="262" t="s">
        <v>582</v>
      </c>
      <c r="D467" s="262" t="s">
        <v>573</v>
      </c>
      <c r="E467" s="262" t="s">
        <v>517</v>
      </c>
      <c r="F467" s="263">
        <f t="shared" si="36"/>
        <v>123.16</v>
      </c>
      <c r="G467" s="263">
        <f t="shared" si="37"/>
        <v>1264</v>
      </c>
      <c r="H467" s="263">
        <f t="shared" si="38"/>
        <v>156.80000000000001</v>
      </c>
      <c r="I467" s="262" t="e">
        <f t="shared" si="39"/>
        <v>#VALUE!</v>
      </c>
      <c r="J467" s="262" t="e">
        <f t="shared" si="40"/>
        <v>#VALUE!</v>
      </c>
      <c r="K467" s="262" t="e">
        <f t="shared" si="41"/>
        <v>#VALUE!</v>
      </c>
      <c r="L467" s="276" t="e">
        <f t="shared" si="42"/>
        <v>#VALUE!</v>
      </c>
    </row>
    <row r="468" spans="1:13" x14ac:dyDescent="0.2">
      <c r="B468" s="254" t="s">
        <v>507</v>
      </c>
      <c r="C468" s="262" t="s">
        <v>583</v>
      </c>
      <c r="D468" s="262" t="s">
        <v>573</v>
      </c>
      <c r="E468" s="262" t="s">
        <v>517</v>
      </c>
      <c r="F468" s="263">
        <f t="shared" ref="F468:F473" si="46">$K$176</f>
        <v>61.58</v>
      </c>
      <c r="G468" s="263">
        <f t="shared" ref="G468:G473" si="47">$H$176</f>
        <v>632</v>
      </c>
      <c r="H468" s="263">
        <f t="shared" ref="H468:H473" si="48">$J$176</f>
        <v>78.400000000000006</v>
      </c>
      <c r="I468" s="262" t="e">
        <f t="shared" si="39"/>
        <v>#VALUE!</v>
      </c>
      <c r="J468" s="262" t="e">
        <f t="shared" si="40"/>
        <v>#VALUE!</v>
      </c>
      <c r="K468" s="262" t="e">
        <f t="shared" si="41"/>
        <v>#VALUE!</v>
      </c>
      <c r="L468" s="276" t="e">
        <f t="shared" si="42"/>
        <v>#VALUE!</v>
      </c>
    </row>
    <row r="469" spans="1:13" x14ac:dyDescent="0.2">
      <c r="B469" s="254" t="s">
        <v>507</v>
      </c>
      <c r="C469" s="262" t="s">
        <v>583</v>
      </c>
      <c r="D469" s="262" t="s">
        <v>573</v>
      </c>
      <c r="E469" s="262" t="s">
        <v>517</v>
      </c>
      <c r="F469" s="263">
        <f t="shared" si="46"/>
        <v>61.58</v>
      </c>
      <c r="G469" s="263">
        <f t="shared" si="47"/>
        <v>632</v>
      </c>
      <c r="H469" s="263">
        <f t="shared" si="48"/>
        <v>78.400000000000006</v>
      </c>
      <c r="I469" s="262" t="e">
        <f t="shared" si="39"/>
        <v>#VALUE!</v>
      </c>
      <c r="J469" s="262" t="e">
        <f t="shared" si="40"/>
        <v>#VALUE!</v>
      </c>
      <c r="K469" s="262" t="e">
        <f t="shared" si="41"/>
        <v>#VALUE!</v>
      </c>
      <c r="L469" s="276" t="e">
        <f t="shared" si="42"/>
        <v>#VALUE!</v>
      </c>
    </row>
    <row r="470" spans="1:13" x14ac:dyDescent="0.2">
      <c r="B470" s="254" t="s">
        <v>507</v>
      </c>
      <c r="C470" s="262" t="s">
        <v>583</v>
      </c>
      <c r="D470" s="262" t="s">
        <v>573</v>
      </c>
      <c r="E470" s="262" t="s">
        <v>517</v>
      </c>
      <c r="F470" s="263">
        <f t="shared" si="46"/>
        <v>61.58</v>
      </c>
      <c r="G470" s="263">
        <f t="shared" si="47"/>
        <v>632</v>
      </c>
      <c r="H470" s="263">
        <f t="shared" si="48"/>
        <v>78.400000000000006</v>
      </c>
      <c r="I470" s="262" t="e">
        <f t="shared" si="39"/>
        <v>#VALUE!</v>
      </c>
      <c r="J470" s="262" t="e">
        <f t="shared" si="40"/>
        <v>#VALUE!</v>
      </c>
      <c r="K470" s="262" t="e">
        <f t="shared" si="41"/>
        <v>#VALUE!</v>
      </c>
      <c r="L470" s="276" t="e">
        <f t="shared" si="42"/>
        <v>#VALUE!</v>
      </c>
    </row>
    <row r="471" spans="1:13" x14ac:dyDescent="0.2">
      <c r="B471" s="254" t="s">
        <v>508</v>
      </c>
      <c r="C471" s="262" t="s">
        <v>583</v>
      </c>
      <c r="D471" s="262" t="s">
        <v>573</v>
      </c>
      <c r="E471" s="262" t="s">
        <v>517</v>
      </c>
      <c r="F471" s="263">
        <f t="shared" si="46"/>
        <v>61.58</v>
      </c>
      <c r="G471" s="263">
        <f t="shared" si="47"/>
        <v>632</v>
      </c>
      <c r="H471" s="263">
        <f t="shared" si="48"/>
        <v>78.400000000000006</v>
      </c>
      <c r="I471" s="262" t="e">
        <f t="shared" si="39"/>
        <v>#VALUE!</v>
      </c>
      <c r="J471" s="262" t="e">
        <f t="shared" si="40"/>
        <v>#VALUE!</v>
      </c>
      <c r="K471" s="262" t="e">
        <f t="shared" si="41"/>
        <v>#VALUE!</v>
      </c>
      <c r="L471" s="276" t="e">
        <f t="shared" si="42"/>
        <v>#VALUE!</v>
      </c>
    </row>
    <row r="472" spans="1:13" x14ac:dyDescent="0.2">
      <c r="B472" s="254" t="s">
        <v>508</v>
      </c>
      <c r="C472" s="262" t="s">
        <v>583</v>
      </c>
      <c r="D472" s="262" t="s">
        <v>573</v>
      </c>
      <c r="E472" s="262" t="s">
        <v>517</v>
      </c>
      <c r="F472" s="263">
        <f t="shared" si="46"/>
        <v>61.58</v>
      </c>
      <c r="G472" s="263">
        <f t="shared" si="47"/>
        <v>632</v>
      </c>
      <c r="H472" s="263">
        <f t="shared" si="48"/>
        <v>78.400000000000006</v>
      </c>
      <c r="I472" s="262" t="e">
        <f t="shared" si="39"/>
        <v>#VALUE!</v>
      </c>
      <c r="J472" s="262" t="e">
        <f t="shared" si="40"/>
        <v>#VALUE!</v>
      </c>
      <c r="K472" s="262" t="e">
        <f t="shared" si="41"/>
        <v>#VALUE!</v>
      </c>
      <c r="L472" s="276" t="e">
        <f t="shared" si="42"/>
        <v>#VALUE!</v>
      </c>
    </row>
    <row r="473" spans="1:13" x14ac:dyDescent="0.2">
      <c r="B473" s="254" t="s">
        <v>508</v>
      </c>
      <c r="C473" s="262" t="s">
        <v>583</v>
      </c>
      <c r="D473" s="262" t="s">
        <v>573</v>
      </c>
      <c r="E473" s="262" t="s">
        <v>517</v>
      </c>
      <c r="F473" s="263">
        <f t="shared" si="46"/>
        <v>61.58</v>
      </c>
      <c r="G473" s="263">
        <f t="shared" si="47"/>
        <v>632</v>
      </c>
      <c r="H473" s="263">
        <f t="shared" si="48"/>
        <v>78.400000000000006</v>
      </c>
      <c r="I473" s="262" t="e">
        <f t="shared" si="39"/>
        <v>#VALUE!</v>
      </c>
      <c r="J473" s="262" t="e">
        <f t="shared" si="40"/>
        <v>#VALUE!</v>
      </c>
      <c r="K473" s="262" t="e">
        <f t="shared" si="41"/>
        <v>#VALUE!</v>
      </c>
      <c r="L473" s="276" t="e">
        <f t="shared" si="42"/>
        <v>#VALUE!</v>
      </c>
    </row>
    <row r="474" spans="1:13" x14ac:dyDescent="0.2">
      <c r="B474" s="254" t="s">
        <v>509</v>
      </c>
      <c r="C474" s="262" t="s">
        <v>568</v>
      </c>
      <c r="D474" s="262" t="s">
        <v>573</v>
      </c>
      <c r="E474" s="262" t="s">
        <v>517</v>
      </c>
      <c r="F474" s="263">
        <f t="shared" si="36"/>
        <v>123.16</v>
      </c>
      <c r="G474" s="263">
        <f t="shared" si="37"/>
        <v>1264</v>
      </c>
      <c r="H474" s="263">
        <f t="shared" si="38"/>
        <v>156.80000000000001</v>
      </c>
      <c r="I474" s="262" t="e">
        <f t="shared" si="39"/>
        <v>#VALUE!</v>
      </c>
      <c r="J474" s="262" t="e">
        <f t="shared" si="40"/>
        <v>#VALUE!</v>
      </c>
      <c r="K474" s="262" t="e">
        <f t="shared" si="41"/>
        <v>#VALUE!</v>
      </c>
      <c r="L474" s="276" t="e">
        <f t="shared" si="42"/>
        <v>#VALUE!</v>
      </c>
    </row>
    <row r="475" spans="1:13" x14ac:dyDescent="0.2">
      <c r="B475" s="254" t="s">
        <v>509</v>
      </c>
      <c r="C475" s="262" t="s">
        <v>568</v>
      </c>
      <c r="D475" s="262" t="s">
        <v>573</v>
      </c>
      <c r="E475" s="262" t="s">
        <v>517</v>
      </c>
      <c r="F475" s="263">
        <f t="shared" si="36"/>
        <v>123.16</v>
      </c>
      <c r="G475" s="263">
        <f t="shared" si="37"/>
        <v>1264</v>
      </c>
      <c r="H475" s="263">
        <f t="shared" si="38"/>
        <v>156.80000000000001</v>
      </c>
      <c r="I475" s="262" t="e">
        <f t="shared" si="39"/>
        <v>#VALUE!</v>
      </c>
      <c r="J475" s="262" t="e">
        <f t="shared" si="40"/>
        <v>#VALUE!</v>
      </c>
      <c r="K475" s="262" t="e">
        <f t="shared" si="41"/>
        <v>#VALUE!</v>
      </c>
      <c r="L475" s="276" t="e">
        <f t="shared" si="42"/>
        <v>#VALUE!</v>
      </c>
    </row>
    <row r="476" spans="1:13" x14ac:dyDescent="0.2">
      <c r="B476" s="254" t="s">
        <v>509</v>
      </c>
      <c r="C476" s="262" t="s">
        <v>568</v>
      </c>
      <c r="D476" s="262" t="s">
        <v>573</v>
      </c>
      <c r="E476" s="262" t="s">
        <v>517</v>
      </c>
      <c r="F476" s="263">
        <f t="shared" si="36"/>
        <v>123.16</v>
      </c>
      <c r="G476" s="263">
        <f t="shared" si="37"/>
        <v>1264</v>
      </c>
      <c r="H476" s="263">
        <f t="shared" si="38"/>
        <v>156.80000000000001</v>
      </c>
      <c r="I476" s="262" t="e">
        <f t="shared" si="39"/>
        <v>#VALUE!</v>
      </c>
      <c r="J476" s="262" t="e">
        <f t="shared" si="40"/>
        <v>#VALUE!</v>
      </c>
      <c r="K476" s="262" t="e">
        <f t="shared" si="41"/>
        <v>#VALUE!</v>
      </c>
      <c r="L476" s="276" t="e">
        <f t="shared" si="42"/>
        <v>#VALUE!</v>
      </c>
    </row>
    <row r="477" spans="1:13" x14ac:dyDescent="0.2">
      <c r="B477" s="254" t="s">
        <v>510</v>
      </c>
      <c r="C477" s="262" t="s">
        <v>568</v>
      </c>
      <c r="D477" s="262" t="s">
        <v>573</v>
      </c>
      <c r="E477" s="262" t="s">
        <v>517</v>
      </c>
      <c r="F477" s="263">
        <f t="shared" si="36"/>
        <v>123.16</v>
      </c>
      <c r="G477" s="263">
        <f t="shared" si="37"/>
        <v>1264</v>
      </c>
      <c r="H477" s="263">
        <f t="shared" si="38"/>
        <v>156.80000000000001</v>
      </c>
      <c r="I477" s="262" t="e">
        <f t="shared" si="39"/>
        <v>#VALUE!</v>
      </c>
      <c r="J477" s="262" t="e">
        <f t="shared" si="40"/>
        <v>#VALUE!</v>
      </c>
      <c r="K477" s="262" t="e">
        <f t="shared" si="41"/>
        <v>#VALUE!</v>
      </c>
      <c r="L477" s="276" t="e">
        <f t="shared" si="42"/>
        <v>#VALUE!</v>
      </c>
    </row>
    <row r="478" spans="1:13" x14ac:dyDescent="0.2">
      <c r="B478" s="254" t="s">
        <v>510</v>
      </c>
      <c r="C478" s="262" t="s">
        <v>568</v>
      </c>
      <c r="D478" s="262" t="s">
        <v>573</v>
      </c>
      <c r="E478" s="262" t="s">
        <v>517</v>
      </c>
      <c r="F478" s="263">
        <f t="shared" si="36"/>
        <v>123.16</v>
      </c>
      <c r="G478" s="263">
        <f t="shared" si="37"/>
        <v>1264</v>
      </c>
      <c r="H478" s="263">
        <f t="shared" si="38"/>
        <v>156.80000000000001</v>
      </c>
      <c r="I478" s="262" t="e">
        <f t="shared" si="39"/>
        <v>#VALUE!</v>
      </c>
      <c r="J478" s="262" t="e">
        <f t="shared" si="40"/>
        <v>#VALUE!</v>
      </c>
      <c r="K478" s="262" t="e">
        <f t="shared" si="41"/>
        <v>#VALUE!</v>
      </c>
      <c r="L478" s="276" t="e">
        <f t="shared" si="42"/>
        <v>#VALUE!</v>
      </c>
    </row>
    <row r="479" spans="1:13" ht="15" thickBot="1" x14ac:dyDescent="0.25">
      <c r="B479" s="247" t="s">
        <v>510</v>
      </c>
      <c r="C479" s="388" t="s">
        <v>568</v>
      </c>
      <c r="D479" s="388" t="s">
        <v>573</v>
      </c>
      <c r="E479" s="388" t="s">
        <v>517</v>
      </c>
      <c r="F479" s="265">
        <f t="shared" si="36"/>
        <v>123.16</v>
      </c>
      <c r="G479" s="265">
        <f t="shared" si="37"/>
        <v>1264</v>
      </c>
      <c r="H479" s="265">
        <f t="shared" si="38"/>
        <v>156.80000000000001</v>
      </c>
      <c r="I479" s="388" t="e">
        <f t="shared" si="39"/>
        <v>#VALUE!</v>
      </c>
      <c r="J479" s="388" t="e">
        <f t="shared" si="40"/>
        <v>#VALUE!</v>
      </c>
      <c r="K479" s="388" t="e">
        <f t="shared" si="41"/>
        <v>#VALUE!</v>
      </c>
      <c r="L479" s="414" t="e">
        <f t="shared" si="42"/>
        <v>#VALUE!</v>
      </c>
    </row>
    <row r="480" spans="1:13" x14ac:dyDescent="0.2">
      <c r="A480" s="171"/>
      <c r="B480" s="199"/>
      <c r="C480" s="210"/>
      <c r="D480" s="210"/>
      <c r="E480" s="210"/>
      <c r="F480" s="176"/>
      <c r="G480" s="176"/>
      <c r="H480" s="176"/>
      <c r="I480" s="210"/>
      <c r="J480" s="210"/>
      <c r="K480" s="173"/>
      <c r="L480" s="290"/>
      <c r="M480" s="171"/>
    </row>
    <row r="481" spans="1:13" x14ac:dyDescent="0.2">
      <c r="A481" s="171"/>
      <c r="B481" s="199"/>
      <c r="C481" s="210"/>
      <c r="D481" s="210"/>
      <c r="E481" s="210"/>
      <c r="F481" s="176"/>
      <c r="G481" s="176"/>
      <c r="H481" s="176"/>
      <c r="I481" s="210"/>
      <c r="J481" s="210"/>
      <c r="K481" s="173"/>
      <c r="L481" s="290"/>
      <c r="M481" s="171"/>
    </row>
    <row r="482" spans="1:13" x14ac:dyDescent="0.2">
      <c r="A482" s="171"/>
      <c r="B482" s="199"/>
      <c r="C482" s="210"/>
      <c r="D482" s="210"/>
      <c r="E482" s="210"/>
      <c r="F482" s="176"/>
      <c r="G482" s="176"/>
      <c r="H482" s="176"/>
      <c r="I482" s="210"/>
      <c r="J482" s="210"/>
      <c r="K482" s="173"/>
      <c r="L482" s="290"/>
      <c r="M482" s="171"/>
    </row>
    <row r="483" spans="1:13" x14ac:dyDescent="0.2">
      <c r="A483" s="171"/>
      <c r="B483" s="199"/>
      <c r="C483" s="210"/>
      <c r="D483" s="210"/>
      <c r="E483" s="210"/>
      <c r="F483" s="176"/>
      <c r="G483" s="176"/>
      <c r="H483" s="176"/>
      <c r="I483" s="210"/>
      <c r="J483" s="210"/>
      <c r="K483" s="173"/>
      <c r="L483" s="290"/>
      <c r="M483" s="171"/>
    </row>
    <row r="484" spans="1:13" x14ac:dyDescent="0.2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</row>
    <row r="485" spans="1:13" x14ac:dyDescent="0.2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</row>
    <row r="486" spans="1:13" x14ac:dyDescent="0.2">
      <c r="A486" s="171"/>
      <c r="B486" s="171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</row>
    <row r="487" spans="1:13" x14ac:dyDescent="0.2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</row>
    <row r="527" spans="1:1" s="171" customFormat="1" ht="15" x14ac:dyDescent="0.2">
      <c r="A527" s="303"/>
    </row>
    <row r="528" spans="1:1" s="171" customFormat="1" x14ac:dyDescent="0.2"/>
    <row r="529" spans="1:14" s="171" customFormat="1" ht="15" x14ac:dyDescent="0.2">
      <c r="B529" s="199"/>
      <c r="C529" s="199"/>
      <c r="D529" s="269"/>
      <c r="E529" s="269"/>
      <c r="F529" s="199"/>
      <c r="G529" s="269"/>
      <c r="H529" s="269"/>
      <c r="I529" s="304"/>
      <c r="J529" s="304"/>
      <c r="K529" s="304"/>
      <c r="L529" s="174"/>
      <c r="M529" s="269"/>
    </row>
    <row r="530" spans="1:14" s="171" customFormat="1" x14ac:dyDescent="0.2">
      <c r="B530" s="199"/>
      <c r="C530" s="140"/>
      <c r="D530" s="302"/>
      <c r="E530" s="302"/>
      <c r="F530" s="199"/>
      <c r="G530" s="199"/>
      <c r="H530" s="199"/>
      <c r="I530" s="174"/>
      <c r="J530" s="174"/>
      <c r="K530" s="174"/>
      <c r="L530" s="174"/>
    </row>
    <row r="531" spans="1:14" s="171" customFormat="1" ht="15" x14ac:dyDescent="0.2">
      <c r="B531" s="199"/>
      <c r="C531" s="210"/>
      <c r="D531" s="210"/>
      <c r="E531" s="210"/>
      <c r="F531" s="176"/>
      <c r="G531" s="176"/>
      <c r="H531" s="176"/>
      <c r="I531" s="210"/>
      <c r="J531" s="210"/>
      <c r="K531" s="173"/>
      <c r="L531" s="290"/>
      <c r="M531" s="304"/>
      <c r="N531" s="199"/>
    </row>
    <row r="532" spans="1:14" s="171" customFormat="1" x14ac:dyDescent="0.2">
      <c r="B532" s="199"/>
      <c r="C532" s="210"/>
      <c r="D532" s="210"/>
      <c r="E532" s="210"/>
      <c r="F532" s="176"/>
      <c r="G532" s="176"/>
      <c r="H532" s="176"/>
      <c r="I532" s="210"/>
      <c r="J532" s="210"/>
      <c r="K532" s="173"/>
      <c r="L532" s="290"/>
      <c r="M532" s="176"/>
      <c r="N532" s="176"/>
    </row>
    <row r="533" spans="1:14" s="171" customFormat="1" x14ac:dyDescent="0.2">
      <c r="A533" s="305"/>
      <c r="B533" s="199"/>
      <c r="C533" s="210"/>
      <c r="D533" s="210"/>
      <c r="E533" s="210"/>
      <c r="F533" s="176"/>
      <c r="G533" s="176"/>
      <c r="H533" s="176"/>
      <c r="I533" s="210"/>
      <c r="J533" s="210"/>
      <c r="K533" s="173"/>
      <c r="L533" s="290"/>
    </row>
    <row r="534" spans="1:14" s="171" customFormat="1" x14ac:dyDescent="0.2">
      <c r="B534" s="199"/>
      <c r="C534" s="210"/>
      <c r="D534" s="210"/>
      <c r="E534" s="210"/>
      <c r="F534" s="176"/>
      <c r="G534" s="176"/>
      <c r="H534" s="176"/>
      <c r="I534" s="210"/>
      <c r="J534" s="210"/>
      <c r="K534" s="173"/>
      <c r="L534" s="290"/>
    </row>
    <row r="535" spans="1:14" s="171" customFormat="1" x14ac:dyDescent="0.2">
      <c r="B535" s="199"/>
      <c r="C535" s="210"/>
      <c r="D535" s="210"/>
      <c r="E535" s="210"/>
      <c r="F535" s="176"/>
      <c r="G535" s="176"/>
      <c r="H535" s="176"/>
      <c r="I535" s="210"/>
      <c r="J535" s="210"/>
      <c r="K535" s="173"/>
      <c r="L535" s="290"/>
    </row>
    <row r="536" spans="1:14" s="171" customFormat="1" x14ac:dyDescent="0.2">
      <c r="B536" s="199"/>
      <c r="C536" s="210"/>
      <c r="D536" s="210"/>
      <c r="E536" s="210"/>
      <c r="F536" s="176"/>
      <c r="G536" s="176"/>
      <c r="H536" s="176"/>
      <c r="I536" s="210"/>
      <c r="J536" s="210"/>
      <c r="K536" s="173"/>
      <c r="L536" s="290"/>
    </row>
    <row r="537" spans="1:14" s="171" customFormat="1" x14ac:dyDescent="0.2">
      <c r="B537" s="199"/>
      <c r="C537" s="210"/>
      <c r="D537" s="210"/>
      <c r="E537" s="210"/>
      <c r="F537" s="176"/>
      <c r="G537" s="176"/>
      <c r="H537" s="176"/>
      <c r="I537" s="210"/>
      <c r="J537" s="210"/>
      <c r="K537" s="173"/>
      <c r="L537" s="290"/>
    </row>
    <row r="538" spans="1:14" s="171" customFormat="1" x14ac:dyDescent="0.2">
      <c r="B538" s="199"/>
      <c r="C538" s="210"/>
      <c r="D538" s="210"/>
      <c r="E538" s="210"/>
      <c r="F538" s="176"/>
      <c r="G538" s="176"/>
      <c r="H538" s="176"/>
      <c r="I538" s="210"/>
      <c r="J538" s="210"/>
      <c r="K538" s="173"/>
      <c r="L538" s="290"/>
    </row>
    <row r="539" spans="1:14" s="171" customFormat="1" x14ac:dyDescent="0.2">
      <c r="B539" s="199"/>
      <c r="C539" s="210"/>
      <c r="D539" s="210"/>
      <c r="E539" s="210"/>
      <c r="F539" s="176"/>
      <c r="G539" s="176"/>
      <c r="H539" s="176"/>
      <c r="I539" s="210"/>
      <c r="J539" s="210"/>
      <c r="K539" s="173"/>
      <c r="L539" s="290"/>
    </row>
    <row r="540" spans="1:14" s="171" customFormat="1" x14ac:dyDescent="0.2">
      <c r="B540" s="199"/>
      <c r="C540" s="210"/>
      <c r="D540" s="210"/>
      <c r="E540" s="210"/>
      <c r="F540" s="176"/>
      <c r="G540" s="176"/>
      <c r="H540" s="176"/>
      <c r="I540" s="210"/>
      <c r="J540" s="210"/>
      <c r="K540" s="173"/>
      <c r="L540" s="290"/>
    </row>
    <row r="541" spans="1:14" s="171" customFormat="1" x14ac:dyDescent="0.2">
      <c r="B541" s="199"/>
      <c r="C541" s="210"/>
      <c r="D541" s="210"/>
      <c r="E541" s="210"/>
      <c r="F541" s="176"/>
      <c r="G541" s="176"/>
      <c r="H541" s="176"/>
      <c r="I541" s="210"/>
      <c r="J541" s="210"/>
      <c r="K541" s="173"/>
      <c r="L541" s="290"/>
    </row>
    <row r="542" spans="1:14" s="171" customFormat="1" x14ac:dyDescent="0.2">
      <c r="B542" s="199"/>
      <c r="C542" s="210"/>
      <c r="D542" s="210"/>
      <c r="E542" s="210"/>
      <c r="F542" s="176"/>
      <c r="G542" s="176"/>
      <c r="H542" s="176"/>
      <c r="I542" s="210"/>
      <c r="J542" s="210"/>
      <c r="K542" s="173"/>
      <c r="L542" s="290"/>
    </row>
    <row r="543" spans="1:14" s="171" customFormat="1" x14ac:dyDescent="0.2">
      <c r="B543" s="199"/>
      <c r="C543" s="210"/>
      <c r="D543" s="210"/>
      <c r="E543" s="210"/>
      <c r="F543" s="176"/>
      <c r="G543" s="176"/>
      <c r="H543" s="176"/>
      <c r="I543" s="210"/>
      <c r="J543" s="210"/>
      <c r="K543" s="173"/>
      <c r="L543" s="290"/>
    </row>
    <row r="544" spans="1:14" s="171" customFormat="1" x14ac:dyDescent="0.2">
      <c r="B544" s="199"/>
      <c r="C544" s="210"/>
      <c r="D544" s="210"/>
      <c r="E544" s="210"/>
      <c r="F544" s="176"/>
      <c r="G544" s="176"/>
      <c r="H544" s="176"/>
      <c r="I544" s="210"/>
      <c r="J544" s="210"/>
      <c r="K544" s="173"/>
      <c r="L544" s="290"/>
    </row>
    <row r="545" spans="2:12" s="171" customFormat="1" x14ac:dyDescent="0.2">
      <c r="B545" s="199"/>
      <c r="C545" s="210"/>
      <c r="D545" s="210"/>
      <c r="E545" s="210"/>
      <c r="F545" s="176"/>
      <c r="G545" s="176"/>
      <c r="H545" s="176"/>
      <c r="I545" s="210"/>
      <c r="J545" s="210"/>
      <c r="K545" s="173"/>
      <c r="L545" s="290"/>
    </row>
    <row r="546" spans="2:12" s="171" customFormat="1" x14ac:dyDescent="0.2">
      <c r="B546" s="199"/>
      <c r="C546" s="210"/>
      <c r="D546" s="210"/>
      <c r="E546" s="210"/>
      <c r="F546" s="176"/>
      <c r="G546" s="176"/>
      <c r="H546" s="176"/>
      <c r="I546" s="210"/>
      <c r="J546" s="210"/>
      <c r="K546" s="173"/>
      <c r="L546" s="290"/>
    </row>
    <row r="547" spans="2:12" s="171" customFormat="1" x14ac:dyDescent="0.2">
      <c r="B547" s="199"/>
      <c r="C547" s="210"/>
      <c r="D547" s="210"/>
      <c r="E547" s="210"/>
      <c r="F547" s="176"/>
      <c r="G547" s="176"/>
      <c r="H547" s="176"/>
      <c r="I547" s="210"/>
      <c r="J547" s="210"/>
      <c r="K547" s="173"/>
      <c r="L547" s="290"/>
    </row>
    <row r="548" spans="2:12" s="171" customFormat="1" x14ac:dyDescent="0.2">
      <c r="B548" s="199"/>
      <c r="C548" s="210"/>
      <c r="D548" s="210"/>
      <c r="E548" s="210"/>
      <c r="F548" s="176"/>
      <c r="G548" s="176"/>
      <c r="H548" s="176"/>
      <c r="I548" s="210"/>
      <c r="J548" s="210"/>
      <c r="K548" s="173"/>
      <c r="L548" s="290"/>
    </row>
    <row r="549" spans="2:12" s="171" customFormat="1" x14ac:dyDescent="0.2">
      <c r="B549" s="199"/>
      <c r="C549" s="210"/>
      <c r="D549" s="210"/>
      <c r="E549" s="210"/>
      <c r="F549" s="176"/>
      <c r="G549" s="176"/>
      <c r="H549" s="176"/>
      <c r="I549" s="210"/>
      <c r="J549" s="210"/>
      <c r="K549" s="173"/>
      <c r="L549" s="290"/>
    </row>
    <row r="550" spans="2:12" s="171" customFormat="1" x14ac:dyDescent="0.2">
      <c r="B550" s="199"/>
      <c r="C550" s="210"/>
      <c r="D550" s="210"/>
      <c r="E550" s="210"/>
      <c r="F550" s="176"/>
      <c r="G550" s="176"/>
      <c r="H550" s="176"/>
      <c r="I550" s="210"/>
      <c r="J550" s="210"/>
      <c r="K550" s="173"/>
      <c r="L550" s="290"/>
    </row>
    <row r="551" spans="2:12" s="171" customFormat="1" x14ac:dyDescent="0.2"/>
    <row r="552" spans="2:12" s="171" customFormat="1" x14ac:dyDescent="0.2"/>
  </sheetData>
  <mergeCells count="14">
    <mergeCell ref="J348:K348"/>
    <mergeCell ref="A16:A17"/>
    <mergeCell ref="D16:D17"/>
    <mergeCell ref="L20:N22"/>
    <mergeCell ref="L23:N24"/>
    <mergeCell ref="I346:K346"/>
    <mergeCell ref="L346:N346"/>
    <mergeCell ref="L25:N26"/>
    <mergeCell ref="A1:N1"/>
    <mergeCell ref="A2:N2"/>
    <mergeCell ref="G167:H167"/>
    <mergeCell ref="L18:N19"/>
    <mergeCell ref="G153:I153"/>
    <mergeCell ref="J153:K153"/>
  </mergeCells>
  <phoneticPr fontId="0" type="noConversion"/>
  <pageMargins left="0.4" right="0.4" top="0.5" bottom="0.3" header="0.5" footer="0.3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3565" r:id="rId4">
          <objectPr defaultSize="0" autoPict="0" r:id="rId5">
            <anchor moveWithCells="1" sizeWithCells="1">
              <from>
                <xdr:col>2</xdr:col>
                <xdr:colOff>752475</xdr:colOff>
                <xdr:row>65</xdr:row>
                <xdr:rowOff>0</xdr:rowOff>
              </from>
              <to>
                <xdr:col>4</xdr:col>
                <xdr:colOff>333375</xdr:colOff>
                <xdr:row>65</xdr:row>
                <xdr:rowOff>0</xdr:rowOff>
              </to>
            </anchor>
          </objectPr>
        </oleObject>
      </mc:Choice>
      <mc:Fallback>
        <oleObject progId="Equation.3" shapeId="23565" r:id="rId4"/>
      </mc:Fallback>
    </mc:AlternateContent>
    <mc:AlternateContent xmlns:mc="http://schemas.openxmlformats.org/markup-compatibility/2006">
      <mc:Choice Requires="x14">
        <oleObject progId="Equation.3" shapeId="23566" r:id="rId6">
          <objectPr defaultSize="0" autoPict="0" r:id="rId7">
            <anchor moveWithCells="1" sizeWithCells="1">
              <from>
                <xdr:col>3</xdr:col>
                <xdr:colOff>695325</xdr:colOff>
                <xdr:row>105</xdr:row>
                <xdr:rowOff>85725</xdr:rowOff>
              </from>
              <to>
                <xdr:col>6</xdr:col>
                <xdr:colOff>104775</xdr:colOff>
                <xdr:row>106</xdr:row>
                <xdr:rowOff>200025</xdr:rowOff>
              </to>
            </anchor>
          </objectPr>
        </oleObject>
      </mc:Choice>
      <mc:Fallback>
        <oleObject progId="Equation.3" shapeId="23566" r:id="rId6"/>
      </mc:Fallback>
    </mc:AlternateContent>
    <mc:AlternateContent xmlns:mc="http://schemas.openxmlformats.org/markup-compatibility/2006">
      <mc:Choice Requires="x14">
        <oleObject progId="AutoCAD.Drawing.17" shapeId="23584" r:id="rId8">
          <objectPr defaultSize="0" autoPict="0" r:id="rId9">
            <anchor moveWithCells="1">
              <from>
                <xdr:col>9</xdr:col>
                <xdr:colOff>114300</xdr:colOff>
                <xdr:row>50</xdr:row>
                <xdr:rowOff>38100</xdr:rowOff>
              </from>
              <to>
                <xdr:col>13</xdr:col>
                <xdr:colOff>571500</xdr:colOff>
                <xdr:row>67</xdr:row>
                <xdr:rowOff>76200</xdr:rowOff>
              </to>
            </anchor>
          </objectPr>
        </oleObject>
      </mc:Choice>
      <mc:Fallback>
        <oleObject progId="AutoCAD.Drawing.17" shapeId="23584" r:id="rId8"/>
      </mc:Fallback>
    </mc:AlternateContent>
    <mc:AlternateContent xmlns:mc="http://schemas.openxmlformats.org/markup-compatibility/2006">
      <mc:Choice Requires="x14">
        <oleObject progId="AutoCAD.Drawing.17" shapeId="23585" r:id="rId10">
          <objectPr defaultSize="0" autoPict="0" r:id="rId11">
            <anchor moveWithCells="1">
              <from>
                <xdr:col>10</xdr:col>
                <xdr:colOff>57150</xdr:colOff>
                <xdr:row>72</xdr:row>
                <xdr:rowOff>123825</xdr:rowOff>
              </from>
              <to>
                <xdr:col>13</xdr:col>
                <xdr:colOff>752475</xdr:colOff>
                <xdr:row>90</xdr:row>
                <xdr:rowOff>114300</xdr:rowOff>
              </to>
            </anchor>
          </objectPr>
        </oleObject>
      </mc:Choice>
      <mc:Fallback>
        <oleObject progId="AutoCAD.Drawing.17" shapeId="23585" r:id="rId10"/>
      </mc:Fallback>
    </mc:AlternateContent>
    <mc:AlternateContent xmlns:mc="http://schemas.openxmlformats.org/markup-compatibility/2006">
      <mc:Choice Requires="x14">
        <oleObject progId="AutoCAD.Drawing.17" shapeId="23599" r:id="rId12">
          <objectPr defaultSize="0" autoPict="0" r:id="rId13">
            <anchor moveWithCells="1">
              <from>
                <xdr:col>1</xdr:col>
                <xdr:colOff>152400</xdr:colOff>
                <xdr:row>128</xdr:row>
                <xdr:rowOff>171450</xdr:rowOff>
              </from>
              <to>
                <xdr:col>5</xdr:col>
                <xdr:colOff>733425</xdr:colOff>
                <xdr:row>151</xdr:row>
                <xdr:rowOff>0</xdr:rowOff>
              </to>
            </anchor>
          </objectPr>
        </oleObject>
      </mc:Choice>
      <mc:Fallback>
        <oleObject progId="AutoCAD.Drawing.17" shapeId="23599" r:id="rId12"/>
      </mc:Fallback>
    </mc:AlternateContent>
    <mc:AlternateContent xmlns:mc="http://schemas.openxmlformats.org/markup-compatibility/2006">
      <mc:Choice Requires="x14">
        <oleObject progId="AutoCAD.Drawing.17" shapeId="23608" r:id="rId14">
          <objectPr defaultSize="0" autoPict="0" r:id="rId15">
            <anchor moveWithCells="1">
              <from>
                <xdr:col>1</xdr:col>
                <xdr:colOff>142875</xdr:colOff>
                <xdr:row>178</xdr:row>
                <xdr:rowOff>0</xdr:rowOff>
              </from>
              <to>
                <xdr:col>6</xdr:col>
                <xdr:colOff>647700</xdr:colOff>
                <xdr:row>193</xdr:row>
                <xdr:rowOff>161925</xdr:rowOff>
              </to>
            </anchor>
          </objectPr>
        </oleObject>
      </mc:Choice>
      <mc:Fallback>
        <oleObject progId="AutoCAD.Drawing.17" shapeId="23608" r:id="rId14"/>
      </mc:Fallback>
    </mc:AlternateContent>
    <mc:AlternateContent xmlns:mc="http://schemas.openxmlformats.org/markup-compatibility/2006">
      <mc:Choice Requires="x14">
        <oleObject progId="AutoCAD.Drawing.17" shapeId="23622" r:id="rId16">
          <objectPr defaultSize="0" autoPict="0" r:id="rId17">
            <anchor moveWithCells="1">
              <from>
                <xdr:col>11</xdr:col>
                <xdr:colOff>0</xdr:colOff>
                <xdr:row>130</xdr:row>
                <xdr:rowOff>66675</xdr:rowOff>
              </from>
              <to>
                <xdr:col>11</xdr:col>
                <xdr:colOff>590550</xdr:colOff>
                <xdr:row>145</xdr:row>
                <xdr:rowOff>171450</xdr:rowOff>
              </to>
            </anchor>
          </objectPr>
        </oleObject>
      </mc:Choice>
      <mc:Fallback>
        <oleObject progId="AutoCAD.Drawing.17" shapeId="23622" r:id="rId16"/>
      </mc:Fallback>
    </mc:AlternateContent>
    <mc:AlternateContent xmlns:mc="http://schemas.openxmlformats.org/markup-compatibility/2006">
      <mc:Choice Requires="x14">
        <oleObject progId="AutoCAD.Drawing.17" shapeId="23623" r:id="rId18">
          <objectPr defaultSize="0" autoPict="0" r:id="rId19">
            <anchor moveWithCells="1">
              <from>
                <xdr:col>6</xdr:col>
                <xdr:colOff>657225</xdr:colOff>
                <xdr:row>130</xdr:row>
                <xdr:rowOff>76200</xdr:rowOff>
              </from>
              <to>
                <xdr:col>7</xdr:col>
                <xdr:colOff>438150</xdr:colOff>
                <xdr:row>146</xdr:row>
                <xdr:rowOff>0</xdr:rowOff>
              </to>
            </anchor>
          </objectPr>
        </oleObject>
      </mc:Choice>
      <mc:Fallback>
        <oleObject progId="AutoCAD.Drawing.17" shapeId="23623" r:id="rId18"/>
      </mc:Fallback>
    </mc:AlternateContent>
    <mc:AlternateContent xmlns:mc="http://schemas.openxmlformats.org/markup-compatibility/2006">
      <mc:Choice Requires="x14">
        <oleObject progId="AutoCAD.Drawing.17" shapeId="23627" r:id="rId20">
          <objectPr defaultSize="0" autoPict="0" r:id="rId21">
            <anchor moveWithCells="1">
              <from>
                <xdr:col>2</xdr:col>
                <xdr:colOff>171450</xdr:colOff>
                <xdr:row>293</xdr:row>
                <xdr:rowOff>142875</xdr:rowOff>
              </from>
              <to>
                <xdr:col>12</xdr:col>
                <xdr:colOff>361950</xdr:colOff>
                <xdr:row>313</xdr:row>
                <xdr:rowOff>133350</xdr:rowOff>
              </to>
            </anchor>
          </objectPr>
        </oleObject>
      </mc:Choice>
      <mc:Fallback>
        <oleObject progId="AutoCAD.Drawing.17" shapeId="23627" r:id="rId20"/>
      </mc:Fallback>
    </mc:AlternateContent>
    <mc:AlternateContent xmlns:mc="http://schemas.openxmlformats.org/markup-compatibility/2006">
      <mc:Choice Requires="x14">
        <oleObject progId="AutoCAD.Drawing.17" shapeId="23641" r:id="rId22">
          <objectPr defaultSize="0" autoPict="0" r:id="rId15">
            <anchor moveWithCells="1">
              <from>
                <xdr:col>0</xdr:col>
                <xdr:colOff>523875</xdr:colOff>
                <xdr:row>357</xdr:row>
                <xdr:rowOff>9525</xdr:rowOff>
              </from>
              <to>
                <xdr:col>6</xdr:col>
                <xdr:colOff>695325</xdr:colOff>
                <xdr:row>374</xdr:row>
                <xdr:rowOff>76200</xdr:rowOff>
              </to>
            </anchor>
          </objectPr>
        </oleObject>
      </mc:Choice>
      <mc:Fallback>
        <oleObject progId="AutoCAD.Drawing.17" shapeId="23641" r:id="rId2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6"/>
  <sheetViews>
    <sheetView workbookViewId="0">
      <selection activeCell="C12" sqref="C12"/>
    </sheetView>
  </sheetViews>
  <sheetFormatPr defaultRowHeight="12.75" x14ac:dyDescent="0.2"/>
  <sheetData>
    <row r="1" spans="1:14" ht="15" x14ac:dyDescent="0.2">
      <c r="A1" s="3" t="s">
        <v>198</v>
      </c>
      <c r="B1" s="3" t="s">
        <v>199</v>
      </c>
    </row>
    <row r="2" spans="1:14" ht="15" x14ac:dyDescent="0.2">
      <c r="A2" s="3" t="s">
        <v>200</v>
      </c>
      <c r="B2" s="3"/>
    </row>
    <row r="3" spans="1:14" ht="16.5" thickBot="1" x14ac:dyDescent="0.3">
      <c r="A3" s="4" t="s">
        <v>201</v>
      </c>
    </row>
    <row r="4" spans="1:14" ht="15.75" thickTop="1" x14ac:dyDescent="0.2">
      <c r="A4" s="7"/>
      <c r="B4" s="8">
        <v>0</v>
      </c>
      <c r="C4" s="8">
        <v>0.1</v>
      </c>
      <c r="D4" s="8">
        <v>0.25</v>
      </c>
      <c r="E4" s="8">
        <v>0.5</v>
      </c>
      <c r="F4" s="8">
        <v>0.75</v>
      </c>
      <c r="G4" s="8">
        <v>1</v>
      </c>
      <c r="H4" s="8">
        <v>1.5</v>
      </c>
      <c r="I4" s="8">
        <v>2</v>
      </c>
      <c r="J4" s="8">
        <v>2.5</v>
      </c>
      <c r="K4" s="8">
        <v>3</v>
      </c>
      <c r="L4" s="8">
        <v>3.5</v>
      </c>
      <c r="M4" s="8">
        <v>4</v>
      </c>
      <c r="N4" s="9">
        <v>5</v>
      </c>
    </row>
    <row r="5" spans="1:14" ht="15" x14ac:dyDescent="0.2">
      <c r="A5" s="10">
        <v>0</v>
      </c>
      <c r="B5" s="11">
        <v>0.93</v>
      </c>
      <c r="C5" s="11">
        <v>0.86</v>
      </c>
      <c r="D5" s="11">
        <v>0.79</v>
      </c>
      <c r="E5" s="11">
        <v>0.68</v>
      </c>
      <c r="F5" s="11">
        <v>0.6</v>
      </c>
      <c r="G5" s="11">
        <v>0.52</v>
      </c>
      <c r="H5" s="11">
        <v>0.43</v>
      </c>
      <c r="I5" s="11">
        <v>0.35</v>
      </c>
      <c r="J5" s="11">
        <v>0.3</v>
      </c>
      <c r="K5" s="11">
        <v>0.27</v>
      </c>
      <c r="L5" s="11">
        <v>0.24</v>
      </c>
      <c r="M5" s="11">
        <v>0.21</v>
      </c>
      <c r="N5" s="12">
        <v>0.17</v>
      </c>
    </row>
    <row r="6" spans="1:14" ht="15" x14ac:dyDescent="0.2">
      <c r="A6" s="10">
        <v>10</v>
      </c>
      <c r="B6" s="11">
        <v>0.92</v>
      </c>
      <c r="C6" s="11">
        <v>0.84</v>
      </c>
      <c r="D6" s="11">
        <v>0.78</v>
      </c>
      <c r="E6" s="11">
        <v>0.68</v>
      </c>
      <c r="F6" s="11">
        <v>0.6</v>
      </c>
      <c r="G6" s="11">
        <v>0.52</v>
      </c>
      <c r="H6" s="11">
        <v>0.42</v>
      </c>
      <c r="I6" s="11">
        <v>0.35</v>
      </c>
      <c r="J6" s="11">
        <v>0.3</v>
      </c>
      <c r="K6" s="11">
        <v>0.26</v>
      </c>
      <c r="L6" s="11">
        <v>0.23</v>
      </c>
      <c r="M6" s="11">
        <v>0.21</v>
      </c>
      <c r="N6" s="12">
        <v>0.17</v>
      </c>
    </row>
    <row r="7" spans="1:14" ht="15" x14ac:dyDescent="0.2">
      <c r="A7" s="10">
        <v>20</v>
      </c>
      <c r="B7" s="11">
        <v>0.9</v>
      </c>
      <c r="C7" s="11">
        <v>0.83</v>
      </c>
      <c r="D7" s="11">
        <v>0.77</v>
      </c>
      <c r="E7" s="11">
        <v>0.67</v>
      </c>
      <c r="F7" s="11">
        <v>0.57999999999999996</v>
      </c>
      <c r="G7" s="11">
        <v>0.5</v>
      </c>
      <c r="H7" s="11">
        <v>0.41</v>
      </c>
      <c r="I7" s="11">
        <v>0.34</v>
      </c>
      <c r="J7" s="11">
        <v>0.28999999999999998</v>
      </c>
      <c r="K7" s="11">
        <v>0.26</v>
      </c>
      <c r="L7" s="11">
        <v>0.23</v>
      </c>
      <c r="M7" s="11">
        <v>0.21</v>
      </c>
      <c r="N7" s="12">
        <v>0.17</v>
      </c>
    </row>
    <row r="8" spans="1:14" ht="15" x14ac:dyDescent="0.2">
      <c r="A8" s="10">
        <v>30</v>
      </c>
      <c r="B8" s="11">
        <v>0.88</v>
      </c>
      <c r="C8" s="11">
        <v>0.81</v>
      </c>
      <c r="D8" s="11">
        <v>0.75</v>
      </c>
      <c r="E8" s="11">
        <v>0.65</v>
      </c>
      <c r="F8" s="11">
        <v>0.56000000000000005</v>
      </c>
      <c r="G8" s="11">
        <v>0.49</v>
      </c>
      <c r="H8" s="11">
        <v>0.4</v>
      </c>
      <c r="I8" s="11">
        <v>0.33</v>
      </c>
      <c r="J8" s="11">
        <v>0.28999999999999998</v>
      </c>
      <c r="K8" s="11">
        <v>0.25</v>
      </c>
      <c r="L8" s="11">
        <v>0.22</v>
      </c>
      <c r="M8" s="11">
        <v>0.21</v>
      </c>
      <c r="N8" s="12">
        <v>0.17</v>
      </c>
    </row>
    <row r="9" spans="1:14" ht="15" x14ac:dyDescent="0.2">
      <c r="A9" s="10">
        <v>40</v>
      </c>
      <c r="B9" s="11">
        <v>0.85</v>
      </c>
      <c r="C9" s="11">
        <v>0.79</v>
      </c>
      <c r="D9" s="11">
        <v>0.73</v>
      </c>
      <c r="E9" s="11">
        <v>0.63</v>
      </c>
      <c r="F9" s="11">
        <v>0.54</v>
      </c>
      <c r="G9" s="11">
        <v>0.47</v>
      </c>
      <c r="H9" s="11">
        <v>0.38</v>
      </c>
      <c r="I9" s="11">
        <v>0.32</v>
      </c>
      <c r="J9" s="11">
        <v>0.28000000000000003</v>
      </c>
      <c r="K9" s="11">
        <v>0.24</v>
      </c>
      <c r="L9" s="11">
        <v>0.22</v>
      </c>
      <c r="M9" s="11">
        <v>0.2</v>
      </c>
      <c r="N9" s="12">
        <v>0.17</v>
      </c>
    </row>
    <row r="10" spans="1:14" ht="15" x14ac:dyDescent="0.2">
      <c r="A10" s="13">
        <v>50</v>
      </c>
      <c r="B10" s="14">
        <v>0.82</v>
      </c>
      <c r="C10" s="14">
        <v>0.76</v>
      </c>
      <c r="D10" s="14">
        <v>0.7</v>
      </c>
      <c r="E10" s="5">
        <v>0.6</v>
      </c>
      <c r="F10" s="14">
        <v>0.54</v>
      </c>
      <c r="G10" s="14">
        <v>0.45</v>
      </c>
      <c r="H10" s="14">
        <v>0.37</v>
      </c>
      <c r="I10" s="14">
        <v>0.31</v>
      </c>
      <c r="J10" s="14">
        <v>0.27</v>
      </c>
      <c r="K10" s="14">
        <v>0.24</v>
      </c>
      <c r="L10" s="14">
        <v>0.22</v>
      </c>
      <c r="M10" s="14">
        <v>0.2</v>
      </c>
      <c r="N10" s="15">
        <v>0.16</v>
      </c>
    </row>
    <row r="11" spans="1:14" ht="15" x14ac:dyDescent="0.2">
      <c r="A11" s="13">
        <v>60</v>
      </c>
      <c r="B11" s="14">
        <v>0.78</v>
      </c>
      <c r="C11" s="14">
        <v>0.72</v>
      </c>
      <c r="D11" s="14">
        <v>0.66</v>
      </c>
      <c r="E11" s="14">
        <v>0.56999999999999995</v>
      </c>
      <c r="F11" s="14">
        <v>0.49</v>
      </c>
      <c r="G11" s="14">
        <v>0.43</v>
      </c>
      <c r="H11" s="14">
        <v>0.35</v>
      </c>
      <c r="I11" s="14">
        <v>0.3</v>
      </c>
      <c r="J11" s="14">
        <v>0.26</v>
      </c>
      <c r="K11" s="14">
        <v>0.23</v>
      </c>
      <c r="L11" s="14">
        <v>0.21</v>
      </c>
      <c r="M11" s="14">
        <v>0.19</v>
      </c>
      <c r="N11" s="15">
        <v>0.16</v>
      </c>
    </row>
    <row r="12" spans="1:14" ht="15" x14ac:dyDescent="0.2">
      <c r="A12" s="13">
        <v>70</v>
      </c>
      <c r="B12" s="14">
        <v>0.74</v>
      </c>
      <c r="C12" s="14">
        <v>0.67</v>
      </c>
      <c r="D12" s="14">
        <v>0.62</v>
      </c>
      <c r="E12" s="14">
        <v>0.54</v>
      </c>
      <c r="F12" s="14">
        <v>0.46</v>
      </c>
      <c r="G12" s="14">
        <v>0.41</v>
      </c>
      <c r="H12" s="14">
        <v>0.34</v>
      </c>
      <c r="I12" s="14">
        <v>0.28999999999999998</v>
      </c>
      <c r="J12" s="14">
        <v>0.25</v>
      </c>
      <c r="K12" s="14">
        <v>0.22</v>
      </c>
      <c r="L12" s="14">
        <v>0.2</v>
      </c>
      <c r="M12" s="14">
        <v>0.19</v>
      </c>
      <c r="N12" s="15">
        <v>0.16</v>
      </c>
    </row>
    <row r="13" spans="1:14" ht="15" x14ac:dyDescent="0.2">
      <c r="A13" s="13">
        <v>80</v>
      </c>
      <c r="B13" s="14">
        <v>0.69</v>
      </c>
      <c r="C13" s="14">
        <v>0.62</v>
      </c>
      <c r="D13" s="14">
        <v>0.56999999999999995</v>
      </c>
      <c r="E13" s="14">
        <v>0.5</v>
      </c>
      <c r="F13" s="14">
        <v>0.43</v>
      </c>
      <c r="G13" s="14">
        <v>0.38</v>
      </c>
      <c r="H13" s="14">
        <v>0.32</v>
      </c>
      <c r="I13" s="14">
        <v>0.28000000000000003</v>
      </c>
      <c r="J13" s="14">
        <v>0.24</v>
      </c>
      <c r="K13" s="14">
        <v>0.22</v>
      </c>
      <c r="L13" s="14">
        <v>0.2</v>
      </c>
      <c r="M13" s="14">
        <v>0.19</v>
      </c>
      <c r="N13" s="15">
        <v>0.15</v>
      </c>
    </row>
    <row r="14" spans="1:14" ht="15" x14ac:dyDescent="0.2">
      <c r="A14" s="13">
        <v>90</v>
      </c>
      <c r="B14" s="14">
        <v>0.63</v>
      </c>
      <c r="C14" s="14">
        <v>0.56000000000000005</v>
      </c>
      <c r="D14" s="14">
        <v>0.51</v>
      </c>
      <c r="E14" s="14">
        <v>0.45</v>
      </c>
      <c r="F14" s="14">
        <v>0.4</v>
      </c>
      <c r="G14" s="14">
        <v>0.36</v>
      </c>
      <c r="H14" s="14">
        <v>0.3</v>
      </c>
      <c r="I14" s="14">
        <v>0.26</v>
      </c>
      <c r="J14" s="14">
        <v>0.23</v>
      </c>
      <c r="K14" s="14">
        <v>0.21</v>
      </c>
      <c r="L14" s="14">
        <v>0.19</v>
      </c>
      <c r="M14" s="14">
        <v>0.18</v>
      </c>
      <c r="N14" s="15">
        <v>0.15</v>
      </c>
    </row>
    <row r="15" spans="1:14" ht="15" x14ac:dyDescent="0.2">
      <c r="A15" s="13">
        <v>100</v>
      </c>
      <c r="B15" s="14">
        <v>0.56000000000000005</v>
      </c>
      <c r="C15" s="14">
        <v>0.49</v>
      </c>
      <c r="D15" s="14">
        <v>0.45</v>
      </c>
      <c r="E15" s="14">
        <v>0.41</v>
      </c>
      <c r="F15" s="14">
        <v>0.37</v>
      </c>
      <c r="G15" s="14">
        <v>0.33</v>
      </c>
      <c r="H15" s="14">
        <v>0.28999999999999998</v>
      </c>
      <c r="I15" s="14">
        <v>0.25</v>
      </c>
      <c r="J15" s="14">
        <v>0.22</v>
      </c>
      <c r="K15" s="14">
        <v>0.2</v>
      </c>
      <c r="L15" s="14">
        <v>0.19</v>
      </c>
      <c r="M15" s="14">
        <v>0.17</v>
      </c>
      <c r="N15" s="15">
        <v>0.14000000000000001</v>
      </c>
    </row>
    <row r="16" spans="1:14" ht="15" x14ac:dyDescent="0.2">
      <c r="A16" s="13">
        <v>110</v>
      </c>
      <c r="B16" s="14">
        <v>0.49</v>
      </c>
      <c r="C16" s="14">
        <v>0.43</v>
      </c>
      <c r="D16" s="14">
        <v>0.41</v>
      </c>
      <c r="E16" s="14">
        <v>0.37</v>
      </c>
      <c r="F16" s="14">
        <v>0.34</v>
      </c>
      <c r="G16" s="14">
        <v>0.31</v>
      </c>
      <c r="H16" s="14">
        <v>0.27</v>
      </c>
      <c r="I16" s="14">
        <v>0.24</v>
      </c>
      <c r="J16" s="14">
        <v>0.21</v>
      </c>
      <c r="K16" s="14">
        <v>0.19</v>
      </c>
      <c r="L16" s="14">
        <v>0.18</v>
      </c>
      <c r="M16" s="14">
        <v>0.17</v>
      </c>
      <c r="N16" s="15">
        <v>0.14000000000000001</v>
      </c>
    </row>
    <row r="17" spans="1:14" ht="15" x14ac:dyDescent="0.2">
      <c r="A17" s="13">
        <v>120</v>
      </c>
      <c r="B17" s="14">
        <v>0.43</v>
      </c>
      <c r="C17" s="14">
        <v>0.39</v>
      </c>
      <c r="D17" s="14">
        <v>0.37</v>
      </c>
      <c r="E17" s="14">
        <v>0.34</v>
      </c>
      <c r="F17" s="14">
        <v>0.31</v>
      </c>
      <c r="G17" s="14">
        <v>0.28999999999999998</v>
      </c>
      <c r="H17" s="14">
        <v>0.25</v>
      </c>
      <c r="I17" s="14">
        <v>0.22</v>
      </c>
      <c r="J17" s="14">
        <v>0.2</v>
      </c>
      <c r="K17" s="14">
        <v>0.18</v>
      </c>
      <c r="L17" s="14">
        <v>0.17</v>
      </c>
      <c r="M17" s="14">
        <v>0.16</v>
      </c>
      <c r="N17" s="15">
        <v>0.13</v>
      </c>
    </row>
    <row r="18" spans="1:14" ht="15" x14ac:dyDescent="0.2">
      <c r="A18" s="13">
        <v>130</v>
      </c>
      <c r="B18" s="14">
        <v>0.38</v>
      </c>
      <c r="C18" s="14">
        <v>0.35</v>
      </c>
      <c r="D18" s="14">
        <v>0.33</v>
      </c>
      <c r="E18" s="14">
        <v>0.31</v>
      </c>
      <c r="F18" s="14">
        <v>0.28999999999999998</v>
      </c>
      <c r="G18" s="14">
        <v>0.26</v>
      </c>
      <c r="H18" s="14">
        <v>0.23</v>
      </c>
      <c r="I18" s="14">
        <v>0.21</v>
      </c>
      <c r="J18" s="14">
        <v>0.19</v>
      </c>
      <c r="K18" s="14">
        <v>0.17</v>
      </c>
      <c r="L18" s="14">
        <v>0.16</v>
      </c>
      <c r="M18" s="14">
        <v>0.15</v>
      </c>
      <c r="N18" s="15">
        <v>0.13</v>
      </c>
    </row>
    <row r="19" spans="1:14" ht="15" x14ac:dyDescent="0.2">
      <c r="A19" s="13">
        <v>140</v>
      </c>
      <c r="B19" s="14">
        <v>0.34</v>
      </c>
      <c r="C19" s="14">
        <v>0.31</v>
      </c>
      <c r="D19" s="14">
        <v>0.3</v>
      </c>
      <c r="E19" s="14">
        <v>0.28000000000000003</v>
      </c>
      <c r="F19" s="14">
        <v>0.26</v>
      </c>
      <c r="G19" s="14">
        <v>0.24</v>
      </c>
      <c r="H19" s="14">
        <v>0.21</v>
      </c>
      <c r="I19" s="14">
        <v>0.2</v>
      </c>
      <c r="J19" s="14">
        <v>0.18</v>
      </c>
      <c r="K19" s="14">
        <v>0.16</v>
      </c>
      <c r="L19" s="14">
        <v>0.15</v>
      </c>
      <c r="M19" s="14">
        <v>0.14000000000000001</v>
      </c>
      <c r="N19" s="15">
        <v>0.12</v>
      </c>
    </row>
    <row r="20" spans="1:14" ht="15" x14ac:dyDescent="0.2">
      <c r="A20" s="13">
        <v>150</v>
      </c>
      <c r="B20" s="14">
        <v>0.31</v>
      </c>
      <c r="C20" s="14">
        <v>0.28000000000000003</v>
      </c>
      <c r="D20" s="14">
        <v>0.27</v>
      </c>
      <c r="E20" s="14">
        <v>0.25</v>
      </c>
      <c r="F20" s="14">
        <v>0.23</v>
      </c>
      <c r="G20" s="14">
        <v>0.22</v>
      </c>
      <c r="H20" s="14">
        <v>0.2</v>
      </c>
      <c r="I20" s="14">
        <v>0.18</v>
      </c>
      <c r="J20" s="14">
        <v>0.16</v>
      </c>
      <c r="K20" s="14">
        <v>0.15</v>
      </c>
      <c r="L20" s="14">
        <v>0.14000000000000001</v>
      </c>
      <c r="M20" s="14">
        <v>0.14000000000000001</v>
      </c>
      <c r="N20" s="15">
        <v>0.12</v>
      </c>
    </row>
    <row r="21" spans="1:14" ht="15" x14ac:dyDescent="0.2">
      <c r="A21" s="13">
        <v>160</v>
      </c>
      <c r="B21" s="14">
        <v>0.28000000000000003</v>
      </c>
      <c r="C21" s="14">
        <v>0.26</v>
      </c>
      <c r="D21" s="14">
        <v>0.24</v>
      </c>
      <c r="E21" s="14">
        <v>0.23</v>
      </c>
      <c r="F21" s="14">
        <v>0.22</v>
      </c>
      <c r="G21" s="14">
        <v>0.21</v>
      </c>
      <c r="H21" s="14">
        <v>0.19</v>
      </c>
      <c r="I21" s="14">
        <v>0.17</v>
      </c>
      <c r="J21" s="14">
        <v>0.15</v>
      </c>
      <c r="K21" s="14">
        <v>0.14000000000000001</v>
      </c>
      <c r="L21" s="14">
        <v>0.14000000000000001</v>
      </c>
      <c r="M21" s="14">
        <v>0.13</v>
      </c>
      <c r="N21" s="15">
        <v>0.11</v>
      </c>
    </row>
    <row r="22" spans="1:14" ht="15" x14ac:dyDescent="0.2">
      <c r="A22" s="13">
        <v>170</v>
      </c>
      <c r="B22" s="14">
        <v>0.25</v>
      </c>
      <c r="C22" s="14">
        <v>0.24</v>
      </c>
      <c r="D22" s="14">
        <v>0.22</v>
      </c>
      <c r="E22" s="14">
        <v>0.21</v>
      </c>
      <c r="F22" s="14">
        <v>0.2</v>
      </c>
      <c r="G22" s="14">
        <v>0.19</v>
      </c>
      <c r="H22" s="14">
        <v>0.17</v>
      </c>
      <c r="I22" s="14">
        <v>0.16</v>
      </c>
      <c r="J22" s="14">
        <v>0.15</v>
      </c>
      <c r="K22" s="14">
        <v>0.14000000000000001</v>
      </c>
      <c r="L22" s="14">
        <v>0.13</v>
      </c>
      <c r="M22" s="14">
        <v>0.12</v>
      </c>
      <c r="N22" s="15">
        <v>0.11</v>
      </c>
    </row>
    <row r="23" spans="1:14" ht="15" x14ac:dyDescent="0.2">
      <c r="A23" s="13">
        <v>180</v>
      </c>
      <c r="B23" s="14">
        <v>0.23</v>
      </c>
      <c r="C23" s="14">
        <v>0.21</v>
      </c>
      <c r="D23" s="14">
        <v>0.2</v>
      </c>
      <c r="E23" s="14">
        <v>0.19</v>
      </c>
      <c r="F23" s="14">
        <v>0.19</v>
      </c>
      <c r="G23" s="14">
        <v>0.18</v>
      </c>
      <c r="H23" s="14">
        <v>0.16</v>
      </c>
      <c r="I23" s="14">
        <v>0.15</v>
      </c>
      <c r="J23" s="14">
        <v>0.14000000000000001</v>
      </c>
      <c r="K23" s="14">
        <v>0.13</v>
      </c>
      <c r="L23" s="14">
        <v>0.12</v>
      </c>
      <c r="M23" s="14">
        <v>0.11</v>
      </c>
      <c r="N23" s="15">
        <v>0.1</v>
      </c>
    </row>
    <row r="24" spans="1:14" ht="15" x14ac:dyDescent="0.2">
      <c r="A24" s="13">
        <v>190</v>
      </c>
      <c r="B24" s="14">
        <v>0.21</v>
      </c>
      <c r="C24" s="14">
        <v>0.2</v>
      </c>
      <c r="D24" s="14">
        <v>0.19</v>
      </c>
      <c r="E24" s="14">
        <v>0.18</v>
      </c>
      <c r="F24" s="14">
        <v>0.18</v>
      </c>
      <c r="G24" s="14">
        <v>0.17</v>
      </c>
      <c r="H24" s="14">
        <v>0.15</v>
      </c>
      <c r="I24" s="14">
        <v>0.14000000000000001</v>
      </c>
      <c r="J24" s="14">
        <v>0.13</v>
      </c>
      <c r="K24" s="14">
        <v>0.12</v>
      </c>
      <c r="L24" s="14">
        <v>0.12</v>
      </c>
      <c r="M24" s="14">
        <v>0.11</v>
      </c>
      <c r="N24" s="15">
        <v>0.1</v>
      </c>
    </row>
    <row r="25" spans="1:14" ht="15.75" thickBot="1" x14ac:dyDescent="0.25">
      <c r="A25" s="16">
        <v>200</v>
      </c>
      <c r="B25" s="17">
        <v>0.19</v>
      </c>
      <c r="C25" s="17">
        <v>0.19</v>
      </c>
      <c r="D25" s="17">
        <v>0.18</v>
      </c>
      <c r="E25" s="17">
        <v>0.18</v>
      </c>
      <c r="F25" s="17">
        <v>0.17</v>
      </c>
      <c r="G25" s="17">
        <v>0.16</v>
      </c>
      <c r="H25" s="17">
        <v>0.15</v>
      </c>
      <c r="I25" s="17">
        <v>0.14000000000000001</v>
      </c>
      <c r="J25" s="17">
        <v>0.13</v>
      </c>
      <c r="K25" s="17">
        <v>0.12</v>
      </c>
      <c r="L25" s="17">
        <v>0.11</v>
      </c>
      <c r="M25" s="17">
        <v>0.11</v>
      </c>
      <c r="N25" s="18">
        <v>0.1</v>
      </c>
    </row>
    <row r="26" spans="1:14" ht="13.5" thickTop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54"/>
  <sheetViews>
    <sheetView workbookViewId="0">
      <selection activeCell="M127" sqref="M127"/>
    </sheetView>
  </sheetViews>
  <sheetFormatPr defaultRowHeight="12.75" x14ac:dyDescent="0.2"/>
  <cols>
    <col min="3" max="3" width="11.140625" bestFit="1" customWidth="1"/>
    <col min="4" max="4" width="10.140625" bestFit="1" customWidth="1"/>
    <col min="5" max="5" width="13.7109375" customWidth="1"/>
    <col min="6" max="6" width="15.42578125" customWidth="1"/>
    <col min="7" max="7" width="15.7109375" customWidth="1"/>
    <col min="8" max="8" width="15.85546875" customWidth="1"/>
    <col min="9" max="9" width="15.28515625" customWidth="1"/>
    <col min="10" max="10" width="19.85546875" customWidth="1"/>
    <col min="11" max="11" width="10" bestFit="1" customWidth="1"/>
  </cols>
  <sheetData>
    <row r="1" spans="1:20" ht="13.5" thickBot="1" x14ac:dyDescent="0.25"/>
    <row r="2" spans="1:20" x14ac:dyDescent="0.2">
      <c r="A2" s="84"/>
      <c r="B2" s="85"/>
      <c r="C2" s="86" t="s">
        <v>317</v>
      </c>
      <c r="D2" s="86"/>
      <c r="E2" s="86"/>
      <c r="F2" s="86" t="s">
        <v>318</v>
      </c>
      <c r="G2" s="86"/>
      <c r="H2" s="86"/>
      <c r="I2" s="86" t="s">
        <v>319</v>
      </c>
      <c r="J2" s="86"/>
      <c r="K2" s="87"/>
      <c r="N2" s="88" t="s">
        <v>320</v>
      </c>
      <c r="O2" s="89"/>
      <c r="P2" s="89"/>
      <c r="Q2" s="88" t="s">
        <v>321</v>
      </c>
      <c r="R2" s="89"/>
      <c r="S2" s="89"/>
      <c r="T2" s="88" t="s">
        <v>322</v>
      </c>
    </row>
    <row r="3" spans="1:20" x14ac:dyDescent="0.2">
      <c r="A3" s="90" t="s">
        <v>323</v>
      </c>
      <c r="B3" s="91" t="s">
        <v>324</v>
      </c>
      <c r="C3" s="92" t="s">
        <v>325</v>
      </c>
      <c r="D3" s="92" t="s">
        <v>326</v>
      </c>
      <c r="E3" s="92" t="s">
        <v>327</v>
      </c>
      <c r="F3" s="92" t="s">
        <v>325</v>
      </c>
      <c r="G3" s="92" t="s">
        <v>326</v>
      </c>
      <c r="H3" s="92" t="s">
        <v>327</v>
      </c>
      <c r="I3" s="92" t="s">
        <v>325</v>
      </c>
      <c r="J3" s="92" t="s">
        <v>326</v>
      </c>
      <c r="K3" s="93" t="s">
        <v>327</v>
      </c>
      <c r="N3" s="89"/>
      <c r="O3" s="89"/>
      <c r="P3" s="89"/>
      <c r="Q3" s="89"/>
      <c r="R3" s="89"/>
      <c r="S3" s="89"/>
      <c r="T3" s="89"/>
    </row>
    <row r="4" spans="1:20" x14ac:dyDescent="0.2">
      <c r="A4" s="94">
        <v>1</v>
      </c>
      <c r="B4" s="95" t="s">
        <v>328</v>
      </c>
      <c r="C4" s="96">
        <v>3928.65</v>
      </c>
      <c r="D4" s="96">
        <v>3569.77</v>
      </c>
      <c r="E4" s="96">
        <v>671.98</v>
      </c>
      <c r="F4" s="96">
        <v>3928.65</v>
      </c>
      <c r="G4" s="96">
        <v>-6840.68</v>
      </c>
      <c r="H4" s="96">
        <v>-11.96</v>
      </c>
      <c r="I4" s="96">
        <v>3928.65</v>
      </c>
      <c r="J4" s="96">
        <v>-6950.84</v>
      </c>
      <c r="K4" s="97">
        <v>813.1</v>
      </c>
      <c r="N4" s="98" t="e">
        <f t="shared" ref="N4:N23" si="0">+ABS(C4)/$B$28+(ABS(D4)/$C$28+ABS(E4)/$D$28)*100</f>
        <v>#REF!</v>
      </c>
      <c r="O4" s="98"/>
      <c r="P4" s="98"/>
      <c r="Q4" s="98" t="e">
        <f t="shared" ref="Q4:Q23" si="1">+ABS(F4)/$B$28+(ABS(G4)/$C$28+ABS(H4)/$D$28)*100</f>
        <v>#REF!</v>
      </c>
      <c r="R4" s="98"/>
      <c r="S4" s="98"/>
      <c r="T4" s="98" t="e">
        <f t="shared" ref="T4:T23" si="2">+ABS(I4)/$B$28+(ABS(J4)/$C$28+ABS(K4)/$D$28)*100</f>
        <v>#REF!</v>
      </c>
    </row>
    <row r="5" spans="1:20" x14ac:dyDescent="0.2">
      <c r="A5" s="94">
        <v>2</v>
      </c>
      <c r="B5" s="95" t="s">
        <v>328</v>
      </c>
      <c r="C5" s="96">
        <v>-7532.58</v>
      </c>
      <c r="D5" s="96">
        <v>1124.25</v>
      </c>
      <c r="E5" s="96">
        <v>-437.42</v>
      </c>
      <c r="F5" s="96">
        <v>-7532.58</v>
      </c>
      <c r="G5" s="96">
        <v>-7416.23</v>
      </c>
      <c r="H5" s="96">
        <v>702.4</v>
      </c>
      <c r="I5" s="96">
        <v>-7532.58</v>
      </c>
      <c r="J5" s="96">
        <v>3971.08</v>
      </c>
      <c r="K5" s="97">
        <v>-1724.89</v>
      </c>
      <c r="N5" s="98" t="e">
        <f t="shared" si="0"/>
        <v>#REF!</v>
      </c>
      <c r="O5" s="98"/>
      <c r="P5" s="98"/>
      <c r="Q5" s="98" t="e">
        <f t="shared" si="1"/>
        <v>#REF!</v>
      </c>
      <c r="R5" s="98"/>
      <c r="S5" s="98"/>
      <c r="T5" s="98" t="e">
        <f t="shared" si="2"/>
        <v>#REF!</v>
      </c>
    </row>
    <row r="6" spans="1:20" x14ac:dyDescent="0.2">
      <c r="A6" s="94">
        <v>3</v>
      </c>
      <c r="B6" s="95" t="s">
        <v>328</v>
      </c>
      <c r="C6" s="96">
        <v>3928.65</v>
      </c>
      <c r="D6" s="96">
        <v>3569.77</v>
      </c>
      <c r="E6" s="96">
        <v>671.98</v>
      </c>
      <c r="F6" s="96">
        <v>3928.65</v>
      </c>
      <c r="G6" s="96">
        <v>-6950.84</v>
      </c>
      <c r="H6" s="96">
        <v>813.1</v>
      </c>
      <c r="I6" s="96">
        <v>3928.65</v>
      </c>
      <c r="J6" s="96">
        <v>-6840.68</v>
      </c>
      <c r="K6" s="97">
        <v>-11.96</v>
      </c>
      <c r="N6" s="98" t="e">
        <f t="shared" si="0"/>
        <v>#REF!</v>
      </c>
      <c r="O6" s="98"/>
      <c r="P6" s="98"/>
      <c r="Q6" s="98" t="e">
        <f t="shared" si="1"/>
        <v>#REF!</v>
      </c>
      <c r="R6" s="98"/>
      <c r="S6" s="98"/>
      <c r="T6" s="98" t="e">
        <f t="shared" si="2"/>
        <v>#REF!</v>
      </c>
    </row>
    <row r="7" spans="1:20" x14ac:dyDescent="0.2">
      <c r="A7" s="94">
        <v>4</v>
      </c>
      <c r="B7" s="95" t="s">
        <v>328</v>
      </c>
      <c r="C7" s="96">
        <v>2298.9699999999998</v>
      </c>
      <c r="D7" s="96">
        <v>-1988.04</v>
      </c>
      <c r="E7" s="96">
        <v>1239.6400000000001</v>
      </c>
      <c r="F7" s="96">
        <v>2298.9699999999998</v>
      </c>
      <c r="G7" s="96">
        <v>6840.68</v>
      </c>
      <c r="H7" s="96">
        <v>-10.81</v>
      </c>
      <c r="I7" s="96">
        <v>2298.9699999999998</v>
      </c>
      <c r="J7" s="96">
        <v>2367.9699999999998</v>
      </c>
      <c r="K7" s="97">
        <v>2148.16</v>
      </c>
      <c r="N7" s="98" t="e">
        <f t="shared" si="0"/>
        <v>#REF!</v>
      </c>
      <c r="O7" s="98"/>
      <c r="P7" s="98"/>
      <c r="Q7" s="98" t="e">
        <f t="shared" si="1"/>
        <v>#REF!</v>
      </c>
      <c r="R7" s="98"/>
      <c r="S7" s="98"/>
      <c r="T7" s="98" t="e">
        <f t="shared" si="2"/>
        <v>#REF!</v>
      </c>
    </row>
    <row r="8" spans="1:20" x14ac:dyDescent="0.2">
      <c r="A8" s="94">
        <v>5</v>
      </c>
      <c r="B8" s="95" t="s">
        <v>328</v>
      </c>
      <c r="C8" s="96">
        <v>-6655.41</v>
      </c>
      <c r="D8" s="96">
        <v>-1025.1400000000001</v>
      </c>
      <c r="E8" s="96">
        <v>2243.83</v>
      </c>
      <c r="F8" s="96">
        <v>-6655.41</v>
      </c>
      <c r="G8" s="96">
        <v>2121.29</v>
      </c>
      <c r="H8" s="96">
        <v>2162.2399999999998</v>
      </c>
      <c r="I8" s="96">
        <v>-6655.41</v>
      </c>
      <c r="J8" s="96">
        <v>2121.29</v>
      </c>
      <c r="K8" s="97">
        <v>2162.2399999999998</v>
      </c>
      <c r="N8" s="98" t="e">
        <f t="shared" si="0"/>
        <v>#REF!</v>
      </c>
      <c r="O8" s="98"/>
      <c r="P8" s="98"/>
      <c r="Q8" s="98" t="e">
        <f t="shared" si="1"/>
        <v>#REF!</v>
      </c>
      <c r="R8" s="98"/>
      <c r="S8" s="98"/>
      <c r="T8" s="98" t="e">
        <f t="shared" si="2"/>
        <v>#REF!</v>
      </c>
    </row>
    <row r="9" spans="1:20" x14ac:dyDescent="0.2">
      <c r="A9" s="94">
        <v>6</v>
      </c>
      <c r="B9" s="95" t="s">
        <v>328</v>
      </c>
      <c r="C9" s="96">
        <v>2298.9699999999998</v>
      </c>
      <c r="D9" s="96">
        <v>-1988.04</v>
      </c>
      <c r="E9" s="96">
        <v>1239.6400000000001</v>
      </c>
      <c r="F9" s="96">
        <v>2298.9699999999998</v>
      </c>
      <c r="G9" s="96">
        <v>2367.9699999999998</v>
      </c>
      <c r="H9" s="96">
        <v>2148.16</v>
      </c>
      <c r="I9" s="96">
        <v>2298.9699999999998</v>
      </c>
      <c r="J9" s="96">
        <v>6840.68</v>
      </c>
      <c r="K9" s="97">
        <v>-10.81</v>
      </c>
      <c r="N9" s="98" t="e">
        <f t="shared" si="0"/>
        <v>#REF!</v>
      </c>
      <c r="O9" s="98"/>
      <c r="P9" s="98"/>
      <c r="Q9" s="98" t="e">
        <f t="shared" si="1"/>
        <v>#REF!</v>
      </c>
      <c r="R9" s="98"/>
      <c r="S9" s="98"/>
      <c r="T9" s="98" t="e">
        <f t="shared" si="2"/>
        <v>#REF!</v>
      </c>
    </row>
    <row r="10" spans="1:20" x14ac:dyDescent="0.2">
      <c r="A10" s="94">
        <v>7</v>
      </c>
      <c r="B10" s="95" t="s">
        <v>328</v>
      </c>
      <c r="C10" s="96">
        <v>3928.65</v>
      </c>
      <c r="D10" s="96">
        <v>-3569.77</v>
      </c>
      <c r="E10" s="96">
        <v>671.98</v>
      </c>
      <c r="F10" s="96">
        <v>3928.65</v>
      </c>
      <c r="G10" s="96">
        <v>6840.68</v>
      </c>
      <c r="H10" s="96">
        <v>-11.96</v>
      </c>
      <c r="I10" s="96">
        <v>3928.65</v>
      </c>
      <c r="J10" s="96">
        <v>6950.84</v>
      </c>
      <c r="K10" s="97">
        <v>813.1</v>
      </c>
      <c r="N10" s="98" t="e">
        <f t="shared" si="0"/>
        <v>#REF!</v>
      </c>
      <c r="O10" s="98"/>
      <c r="P10" s="98"/>
      <c r="Q10" s="98" t="e">
        <f t="shared" si="1"/>
        <v>#REF!</v>
      </c>
      <c r="R10" s="98"/>
      <c r="S10" s="98"/>
      <c r="T10" s="98" t="e">
        <f t="shared" si="2"/>
        <v>#REF!</v>
      </c>
    </row>
    <row r="11" spans="1:20" x14ac:dyDescent="0.2">
      <c r="A11" s="94">
        <v>8</v>
      </c>
      <c r="B11" s="95" t="s">
        <v>328</v>
      </c>
      <c r="C11" s="96">
        <v>-7532.58</v>
      </c>
      <c r="D11" s="96">
        <v>-1124.25</v>
      </c>
      <c r="E11" s="96">
        <v>-437.42</v>
      </c>
      <c r="F11" s="96">
        <v>-7532.58</v>
      </c>
      <c r="G11" s="96">
        <v>7416.23</v>
      </c>
      <c r="H11" s="96">
        <v>702.4</v>
      </c>
      <c r="I11" s="96">
        <v>-7532.58</v>
      </c>
      <c r="J11" s="96">
        <v>-3971.08</v>
      </c>
      <c r="K11" s="97">
        <v>-1724.89</v>
      </c>
      <c r="N11" s="98" t="e">
        <f t="shared" si="0"/>
        <v>#REF!</v>
      </c>
      <c r="O11" s="98"/>
      <c r="P11" s="98"/>
      <c r="Q11" s="98" t="e">
        <f t="shared" si="1"/>
        <v>#REF!</v>
      </c>
      <c r="R11" s="98"/>
      <c r="S11" s="98"/>
      <c r="T11" s="98" t="e">
        <f t="shared" si="2"/>
        <v>#REF!</v>
      </c>
    </row>
    <row r="12" spans="1:20" x14ac:dyDescent="0.2">
      <c r="A12" s="94">
        <v>9</v>
      </c>
      <c r="B12" s="95" t="s">
        <v>328</v>
      </c>
      <c r="C12" s="96">
        <v>3928.65</v>
      </c>
      <c r="D12" s="96">
        <v>-3569.77</v>
      </c>
      <c r="E12" s="96">
        <v>671.98</v>
      </c>
      <c r="F12" s="96">
        <v>3928.65</v>
      </c>
      <c r="G12" s="96">
        <v>6950.84</v>
      </c>
      <c r="H12" s="96">
        <v>813.1</v>
      </c>
      <c r="I12" s="96">
        <v>3928.65</v>
      </c>
      <c r="J12" s="96">
        <v>6840.68</v>
      </c>
      <c r="K12" s="97">
        <v>-11.96</v>
      </c>
      <c r="N12" s="98" t="e">
        <f t="shared" si="0"/>
        <v>#REF!</v>
      </c>
      <c r="O12" s="98"/>
      <c r="P12" s="98"/>
      <c r="Q12" s="98" t="e">
        <f t="shared" si="1"/>
        <v>#REF!</v>
      </c>
      <c r="R12" s="98"/>
      <c r="S12" s="98"/>
      <c r="T12" s="98" t="e">
        <f t="shared" si="2"/>
        <v>#REF!</v>
      </c>
    </row>
    <row r="13" spans="1:20" x14ac:dyDescent="0.2">
      <c r="A13" s="94">
        <v>10</v>
      </c>
      <c r="B13" s="95" t="s">
        <v>328</v>
      </c>
      <c r="C13" s="96">
        <v>2298.9699999999998</v>
      </c>
      <c r="D13" s="96">
        <v>1988.04</v>
      </c>
      <c r="E13" s="96">
        <v>1239.6400000000001</v>
      </c>
      <c r="F13" s="96">
        <v>2298.9699999999998</v>
      </c>
      <c r="G13" s="96">
        <v>-6840.68</v>
      </c>
      <c r="H13" s="96">
        <v>-10.81</v>
      </c>
      <c r="I13" s="96">
        <v>2298.9699999999998</v>
      </c>
      <c r="J13" s="96">
        <v>-2367.9699999999998</v>
      </c>
      <c r="K13" s="97">
        <v>2148.16</v>
      </c>
      <c r="N13" s="98" t="e">
        <f t="shared" si="0"/>
        <v>#REF!</v>
      </c>
      <c r="O13" s="98"/>
      <c r="P13" s="98"/>
      <c r="Q13" s="98" t="e">
        <f t="shared" si="1"/>
        <v>#REF!</v>
      </c>
      <c r="R13" s="98"/>
      <c r="S13" s="98"/>
      <c r="T13" s="98" t="e">
        <f t="shared" si="2"/>
        <v>#REF!</v>
      </c>
    </row>
    <row r="14" spans="1:20" x14ac:dyDescent="0.2">
      <c r="A14" s="94">
        <v>11</v>
      </c>
      <c r="B14" s="95" t="s">
        <v>328</v>
      </c>
      <c r="C14" s="96">
        <v>-6655.41</v>
      </c>
      <c r="D14" s="96">
        <v>1025.1400000000001</v>
      </c>
      <c r="E14" s="96">
        <v>2243.83</v>
      </c>
      <c r="F14" s="96">
        <v>-6655.41</v>
      </c>
      <c r="G14" s="96">
        <v>-2121.29</v>
      </c>
      <c r="H14" s="96">
        <v>2162.2399999999998</v>
      </c>
      <c r="I14" s="96">
        <v>-6655.41</v>
      </c>
      <c r="J14" s="96">
        <v>-2121.29</v>
      </c>
      <c r="K14" s="97">
        <v>2162.2399999999998</v>
      </c>
      <c r="N14" s="98" t="e">
        <f t="shared" si="0"/>
        <v>#REF!</v>
      </c>
      <c r="O14" s="98"/>
      <c r="P14" s="98"/>
      <c r="Q14" s="98" t="e">
        <f t="shared" si="1"/>
        <v>#REF!</v>
      </c>
      <c r="R14" s="98"/>
      <c r="S14" s="98"/>
      <c r="T14" s="98" t="e">
        <f t="shared" si="2"/>
        <v>#REF!</v>
      </c>
    </row>
    <row r="15" spans="1:20" x14ac:dyDescent="0.2">
      <c r="A15" s="94">
        <v>12</v>
      </c>
      <c r="B15" s="95" t="s">
        <v>328</v>
      </c>
      <c r="C15" s="96">
        <v>2298.9699999999998</v>
      </c>
      <c r="D15" s="96">
        <v>1988.04</v>
      </c>
      <c r="E15" s="96">
        <v>1239.6400000000001</v>
      </c>
      <c r="F15" s="96">
        <v>2298.9699999999998</v>
      </c>
      <c r="G15" s="96">
        <v>-2367.9699999999998</v>
      </c>
      <c r="H15" s="96">
        <v>2148.16</v>
      </c>
      <c r="I15" s="96">
        <v>2298.9699999999998</v>
      </c>
      <c r="J15" s="96">
        <v>-6840.68</v>
      </c>
      <c r="K15" s="97">
        <v>-10.81</v>
      </c>
      <c r="N15" s="98" t="e">
        <f t="shared" si="0"/>
        <v>#REF!</v>
      </c>
      <c r="O15" s="98"/>
      <c r="P15" s="98"/>
      <c r="Q15" s="98" t="e">
        <f t="shared" si="1"/>
        <v>#REF!</v>
      </c>
      <c r="R15" s="98"/>
      <c r="S15" s="98"/>
      <c r="T15" s="98" t="e">
        <f t="shared" si="2"/>
        <v>#REF!</v>
      </c>
    </row>
    <row r="16" spans="1:20" x14ac:dyDescent="0.2">
      <c r="A16" s="94">
        <v>13</v>
      </c>
      <c r="B16" s="95" t="s">
        <v>328</v>
      </c>
      <c r="C16" s="96">
        <v>-10465.39</v>
      </c>
      <c r="D16" s="96">
        <v>-85.63</v>
      </c>
      <c r="E16" s="96">
        <v>1331.97</v>
      </c>
      <c r="F16" s="96">
        <v>-10465.39</v>
      </c>
      <c r="G16" s="96">
        <v>-85.63</v>
      </c>
      <c r="H16" s="96">
        <v>94.08</v>
      </c>
      <c r="I16" s="96">
        <v>-10465.39</v>
      </c>
      <c r="J16" s="96">
        <v>-85.63</v>
      </c>
      <c r="K16" s="97">
        <v>94.08</v>
      </c>
      <c r="N16" s="98" t="e">
        <f t="shared" si="0"/>
        <v>#REF!</v>
      </c>
      <c r="O16" s="98"/>
      <c r="P16" s="98"/>
      <c r="Q16" s="98" t="e">
        <f t="shared" si="1"/>
        <v>#REF!</v>
      </c>
      <c r="R16" s="98"/>
      <c r="S16" s="98"/>
      <c r="T16" s="98" t="e">
        <f t="shared" si="2"/>
        <v>#REF!</v>
      </c>
    </row>
    <row r="17" spans="1:20" x14ac:dyDescent="0.2">
      <c r="A17" s="94">
        <v>14</v>
      </c>
      <c r="B17" s="95" t="s">
        <v>328</v>
      </c>
      <c r="C17" s="96">
        <v>-10465.39</v>
      </c>
      <c r="D17" s="96">
        <v>85.63</v>
      </c>
      <c r="E17" s="96">
        <v>1331.97</v>
      </c>
      <c r="F17" s="96">
        <v>-10465.39</v>
      </c>
      <c r="G17" s="96">
        <v>85.63</v>
      </c>
      <c r="H17" s="96">
        <v>94.08</v>
      </c>
      <c r="I17" s="96">
        <v>-10465.39</v>
      </c>
      <c r="J17" s="96">
        <v>85.63</v>
      </c>
      <c r="K17" s="97">
        <v>94.08</v>
      </c>
      <c r="N17" s="98" t="e">
        <f t="shared" si="0"/>
        <v>#REF!</v>
      </c>
      <c r="O17" s="98"/>
      <c r="P17" s="98"/>
      <c r="Q17" s="98" t="e">
        <f t="shared" si="1"/>
        <v>#REF!</v>
      </c>
      <c r="R17" s="98"/>
      <c r="S17" s="98"/>
      <c r="T17" s="98" t="e">
        <f t="shared" si="2"/>
        <v>#REF!</v>
      </c>
    </row>
    <row r="18" spans="1:20" x14ac:dyDescent="0.2">
      <c r="A18" s="94">
        <v>15</v>
      </c>
      <c r="B18" s="95" t="s">
        <v>328</v>
      </c>
      <c r="C18" s="96">
        <v>-14544.01</v>
      </c>
      <c r="D18" s="96">
        <v>-66.540000000000006</v>
      </c>
      <c r="E18" s="96">
        <v>382.19</v>
      </c>
      <c r="F18" s="96">
        <v>-14544.01</v>
      </c>
      <c r="G18" s="96">
        <v>246.69</v>
      </c>
      <c r="H18" s="96">
        <v>18.12</v>
      </c>
      <c r="I18" s="96">
        <v>-14544.01</v>
      </c>
      <c r="J18" s="96">
        <v>-379.76</v>
      </c>
      <c r="K18" s="97">
        <v>-138.47999999999999</v>
      </c>
      <c r="N18" s="98" t="e">
        <f t="shared" si="0"/>
        <v>#REF!</v>
      </c>
      <c r="O18" s="98"/>
      <c r="P18" s="98"/>
      <c r="Q18" s="98" t="e">
        <f t="shared" si="1"/>
        <v>#REF!</v>
      </c>
      <c r="R18" s="98"/>
      <c r="S18" s="98"/>
      <c r="T18" s="98" t="e">
        <f t="shared" si="2"/>
        <v>#REF!</v>
      </c>
    </row>
    <row r="19" spans="1:20" x14ac:dyDescent="0.2">
      <c r="A19" s="94">
        <v>16</v>
      </c>
      <c r="B19" s="95" t="s">
        <v>328</v>
      </c>
      <c r="C19" s="96">
        <v>-14544.01</v>
      </c>
      <c r="D19" s="96">
        <v>66.540000000000006</v>
      </c>
      <c r="E19" s="96">
        <v>382.19</v>
      </c>
      <c r="F19" s="96">
        <v>-14544.01</v>
      </c>
      <c r="G19" s="96">
        <v>-246.69</v>
      </c>
      <c r="H19" s="96">
        <v>18.12</v>
      </c>
      <c r="I19" s="96">
        <v>-14544.01</v>
      </c>
      <c r="J19" s="96">
        <v>379.76</v>
      </c>
      <c r="K19" s="97">
        <v>-138.47999999999999</v>
      </c>
      <c r="N19" s="98" t="e">
        <f t="shared" si="0"/>
        <v>#REF!</v>
      </c>
      <c r="O19" s="98"/>
      <c r="P19" s="98"/>
      <c r="Q19" s="98" t="e">
        <f t="shared" si="1"/>
        <v>#REF!</v>
      </c>
      <c r="R19" s="98"/>
      <c r="S19" s="98"/>
      <c r="T19" s="98" t="e">
        <f t="shared" si="2"/>
        <v>#REF!</v>
      </c>
    </row>
    <row r="20" spans="1:20" x14ac:dyDescent="0.2">
      <c r="A20" s="94">
        <v>17</v>
      </c>
      <c r="B20" s="95" t="s">
        <v>328</v>
      </c>
      <c r="C20" s="96">
        <v>-14544.01</v>
      </c>
      <c r="D20" s="96">
        <v>66.540000000000006</v>
      </c>
      <c r="E20" s="96">
        <v>382.19</v>
      </c>
      <c r="F20" s="96">
        <v>-14544.01</v>
      </c>
      <c r="G20" s="96">
        <v>-246.69</v>
      </c>
      <c r="H20" s="96">
        <v>18.12</v>
      </c>
      <c r="I20" s="96">
        <v>-14544.01</v>
      </c>
      <c r="J20" s="96">
        <v>379.76</v>
      </c>
      <c r="K20" s="97">
        <v>-138.47999999999999</v>
      </c>
      <c r="N20" s="98" t="e">
        <f t="shared" si="0"/>
        <v>#REF!</v>
      </c>
      <c r="O20" s="98"/>
      <c r="P20" s="98"/>
      <c r="Q20" s="98" t="e">
        <f t="shared" si="1"/>
        <v>#REF!</v>
      </c>
      <c r="R20" s="98"/>
      <c r="S20" s="98"/>
      <c r="T20" s="98" t="e">
        <f t="shared" si="2"/>
        <v>#REF!</v>
      </c>
    </row>
    <row r="21" spans="1:20" x14ac:dyDescent="0.2">
      <c r="A21" s="94">
        <v>18</v>
      </c>
      <c r="B21" s="95" t="s">
        <v>328</v>
      </c>
      <c r="C21" s="96">
        <v>-14544.01</v>
      </c>
      <c r="D21" s="96">
        <v>-66.540000000000006</v>
      </c>
      <c r="E21" s="96">
        <v>382.19</v>
      </c>
      <c r="F21" s="96">
        <v>-14544.01</v>
      </c>
      <c r="G21" s="96">
        <v>246.69</v>
      </c>
      <c r="H21" s="96">
        <v>18.12</v>
      </c>
      <c r="I21" s="96">
        <v>-14544.01</v>
      </c>
      <c r="J21" s="96">
        <v>-379.76</v>
      </c>
      <c r="K21" s="97">
        <v>-138.47999999999999</v>
      </c>
      <c r="N21" s="98" t="e">
        <f t="shared" si="0"/>
        <v>#REF!</v>
      </c>
      <c r="O21" s="98"/>
      <c r="P21" s="98"/>
      <c r="Q21" s="98" t="e">
        <f t="shared" si="1"/>
        <v>#REF!</v>
      </c>
      <c r="R21" s="98"/>
      <c r="S21" s="98"/>
      <c r="T21" s="98" t="e">
        <f t="shared" si="2"/>
        <v>#REF!</v>
      </c>
    </row>
    <row r="22" spans="1:20" x14ac:dyDescent="0.2">
      <c r="A22" s="94">
        <v>19</v>
      </c>
      <c r="B22" s="95" t="s">
        <v>328</v>
      </c>
      <c r="C22" s="96">
        <v>-7532.58</v>
      </c>
      <c r="D22" s="96">
        <v>1124.25</v>
      </c>
      <c r="E22" s="96">
        <v>-437.42</v>
      </c>
      <c r="F22" s="96">
        <v>-7532.58</v>
      </c>
      <c r="G22" s="96">
        <v>3971.08</v>
      </c>
      <c r="H22" s="96">
        <v>-1724.89</v>
      </c>
      <c r="I22" s="96">
        <v>-7532.58</v>
      </c>
      <c r="J22" s="96">
        <v>-7416.23</v>
      </c>
      <c r="K22" s="97">
        <v>702.4</v>
      </c>
      <c r="N22" s="98" t="e">
        <f t="shared" si="0"/>
        <v>#REF!</v>
      </c>
      <c r="O22" s="98"/>
      <c r="P22" s="98"/>
      <c r="Q22" s="98" t="e">
        <f t="shared" si="1"/>
        <v>#REF!</v>
      </c>
      <c r="R22" s="98"/>
      <c r="S22" s="98"/>
      <c r="T22" s="98" t="e">
        <f t="shared" si="2"/>
        <v>#REF!</v>
      </c>
    </row>
    <row r="23" spans="1:20" x14ac:dyDescent="0.2">
      <c r="A23" s="94">
        <v>20</v>
      </c>
      <c r="B23" s="95" t="s">
        <v>328</v>
      </c>
      <c r="C23" s="96">
        <v>-7532.58</v>
      </c>
      <c r="D23" s="96">
        <v>-1124.25</v>
      </c>
      <c r="E23" s="96">
        <v>-437.42</v>
      </c>
      <c r="F23" s="96">
        <v>-7532.58</v>
      </c>
      <c r="G23" s="96">
        <v>-3971.08</v>
      </c>
      <c r="H23" s="96">
        <v>-1724.89</v>
      </c>
      <c r="I23" s="96">
        <v>-7532.58</v>
      </c>
      <c r="J23" s="96">
        <v>7416.23</v>
      </c>
      <c r="K23" s="97">
        <v>702.4</v>
      </c>
      <c r="N23" s="98" t="e">
        <f t="shared" si="0"/>
        <v>#REF!</v>
      </c>
      <c r="O23" s="98"/>
      <c r="P23" s="98"/>
      <c r="Q23" s="98" t="e">
        <f t="shared" si="1"/>
        <v>#REF!</v>
      </c>
      <c r="R23" s="98"/>
      <c r="S23" s="98"/>
      <c r="T23" s="98" t="e">
        <f t="shared" si="2"/>
        <v>#REF!</v>
      </c>
    </row>
    <row r="25" spans="1:20" ht="13.5" thickBot="1" x14ac:dyDescent="0.25">
      <c r="G25" s="104"/>
    </row>
    <row r="26" spans="1:20" ht="14.25" x14ac:dyDescent="0.2">
      <c r="B26" s="1" t="s">
        <v>6</v>
      </c>
      <c r="C26" s="99" t="s">
        <v>238</v>
      </c>
      <c r="D26" s="100" t="s">
        <v>329</v>
      </c>
      <c r="P26" s="104"/>
    </row>
    <row r="27" spans="1:20" ht="16.5" x14ac:dyDescent="0.2">
      <c r="B27" s="6" t="s">
        <v>239</v>
      </c>
      <c r="C27" s="2" t="s">
        <v>240</v>
      </c>
      <c r="D27" s="19" t="s">
        <v>240</v>
      </c>
    </row>
    <row r="28" spans="1:20" ht="15" thickBot="1" x14ac:dyDescent="0.25">
      <c r="B28" s="102" t="e">
        <f>+#REF!</f>
        <v>#REF!</v>
      </c>
      <c r="C28" s="101" t="e">
        <f>+#REF!</f>
        <v>#REF!</v>
      </c>
      <c r="D28" s="103" t="e">
        <f>+#REF!</f>
        <v>#REF!</v>
      </c>
    </row>
    <row r="31" spans="1:20" ht="13.5" thickBot="1" x14ac:dyDescent="0.25"/>
    <row r="32" spans="1:20" x14ac:dyDescent="0.2">
      <c r="A32" s="84"/>
      <c r="B32" s="85"/>
      <c r="C32" s="86" t="s">
        <v>317</v>
      </c>
      <c r="D32" s="86"/>
      <c r="E32" s="86"/>
      <c r="F32" s="86" t="s">
        <v>318</v>
      </c>
      <c r="G32" s="86"/>
      <c r="H32" s="86"/>
      <c r="I32" s="86" t="s">
        <v>319</v>
      </c>
      <c r="J32" s="86"/>
      <c r="K32" s="87"/>
      <c r="N32" s="88" t="s">
        <v>320</v>
      </c>
      <c r="O32" s="89"/>
      <c r="P32" s="89"/>
      <c r="Q32" s="88" t="s">
        <v>321</v>
      </c>
      <c r="R32" s="89"/>
      <c r="S32" s="89"/>
      <c r="T32" s="88" t="s">
        <v>322</v>
      </c>
    </row>
    <row r="33" spans="1:20" x14ac:dyDescent="0.2">
      <c r="A33" s="90" t="s">
        <v>323</v>
      </c>
      <c r="B33" s="91" t="s">
        <v>324</v>
      </c>
      <c r="C33" s="92" t="s">
        <v>325</v>
      </c>
      <c r="D33" s="92" t="s">
        <v>326</v>
      </c>
      <c r="E33" s="92" t="s">
        <v>327</v>
      </c>
      <c r="F33" s="92" t="s">
        <v>325</v>
      </c>
      <c r="G33" s="92" t="s">
        <v>326</v>
      </c>
      <c r="H33" s="92" t="s">
        <v>327</v>
      </c>
      <c r="I33" s="92" t="s">
        <v>325</v>
      </c>
      <c r="J33" s="92" t="s">
        <v>326</v>
      </c>
      <c r="K33" s="93" t="s">
        <v>327</v>
      </c>
      <c r="N33" s="89"/>
      <c r="O33" s="89"/>
      <c r="P33" s="89"/>
      <c r="Q33" s="89"/>
      <c r="R33" s="89"/>
      <c r="S33" s="89"/>
      <c r="T33" s="89"/>
    </row>
    <row r="34" spans="1:20" x14ac:dyDescent="0.2">
      <c r="A34" s="94">
        <v>1</v>
      </c>
      <c r="B34" s="95" t="s">
        <v>328</v>
      </c>
      <c r="C34" s="96">
        <v>25194.22</v>
      </c>
      <c r="D34" s="96">
        <v>22892.85</v>
      </c>
      <c r="E34" s="96">
        <v>1187.55</v>
      </c>
      <c r="F34" s="96">
        <v>25194.22</v>
      </c>
      <c r="G34" s="96">
        <v>-43805.34</v>
      </c>
      <c r="H34" s="96">
        <v>-304.56</v>
      </c>
      <c r="I34" s="96">
        <v>25194.22</v>
      </c>
      <c r="J34" s="96">
        <v>-44595.78</v>
      </c>
      <c r="K34" s="97">
        <v>1613.17</v>
      </c>
      <c r="N34" s="98" t="e">
        <f>+ABS(C34)/$B$57+(ABS(D34)/$C$57+ABS(E34)/$D$57)*100</f>
        <v>#REF!</v>
      </c>
      <c r="O34" s="98"/>
      <c r="P34" s="98"/>
      <c r="Q34" s="98" t="e">
        <f t="shared" ref="Q34:Q53" si="3">+ABS(F34)/$B$57+(ABS(G34)/$C$57+ABS(H34)/$D$57)*100</f>
        <v>#REF!</v>
      </c>
      <c r="R34" s="98"/>
      <c r="S34" s="98"/>
      <c r="T34" s="98" t="e">
        <f>+ABS(I34)/$B$57+(ABS(J34)/$C$57+ABS(K34)/$D$57)*100</f>
        <v>#REF!</v>
      </c>
    </row>
    <row r="35" spans="1:20" x14ac:dyDescent="0.2">
      <c r="A35" s="94">
        <v>2</v>
      </c>
      <c r="B35" s="95" t="s">
        <v>328</v>
      </c>
      <c r="C35" s="96">
        <v>-48306.01</v>
      </c>
      <c r="D35" s="96">
        <v>7193.75</v>
      </c>
      <c r="E35" s="96">
        <v>-788.47</v>
      </c>
      <c r="F35" s="96">
        <v>-48306.01</v>
      </c>
      <c r="G35" s="96">
        <v>-47558.34</v>
      </c>
      <c r="H35" s="96">
        <v>1436.31</v>
      </c>
      <c r="I35" s="96">
        <v>-48306.01</v>
      </c>
      <c r="J35" s="96">
        <v>25444.45</v>
      </c>
      <c r="K35" s="97">
        <v>-3303.37</v>
      </c>
      <c r="N35" s="98" t="e">
        <f t="shared" ref="N35:N53" si="4">+ABS(C35)/$B$57+(ABS(D35)/$C$57+ABS(E35)/$D$57)*100</f>
        <v>#REF!</v>
      </c>
      <c r="O35" s="98"/>
      <c r="P35" s="98"/>
      <c r="Q35" s="98" t="e">
        <f t="shared" si="3"/>
        <v>#REF!</v>
      </c>
      <c r="R35" s="98"/>
      <c r="S35" s="98"/>
      <c r="T35" s="98" t="e">
        <f t="shared" ref="T35:T53" si="5">+ABS(I35)/$B$57+(ABS(J35)/$C$57+ABS(K35)/$D$57)*100</f>
        <v>#REF!</v>
      </c>
    </row>
    <row r="36" spans="1:20" x14ac:dyDescent="0.2">
      <c r="A36" s="94">
        <v>3</v>
      </c>
      <c r="B36" s="95" t="s">
        <v>328</v>
      </c>
      <c r="C36" s="96">
        <v>25194.22</v>
      </c>
      <c r="D36" s="96">
        <v>22892.85</v>
      </c>
      <c r="E36" s="96">
        <v>1187.55</v>
      </c>
      <c r="F36" s="96">
        <v>25194.22</v>
      </c>
      <c r="G36" s="96">
        <v>-44595.78</v>
      </c>
      <c r="H36" s="96">
        <v>1613.17</v>
      </c>
      <c r="I36" s="96">
        <v>25194.22</v>
      </c>
      <c r="J36" s="96">
        <v>-43805.34</v>
      </c>
      <c r="K36" s="97">
        <v>-304.56</v>
      </c>
      <c r="N36" s="98" t="e">
        <f t="shared" si="4"/>
        <v>#REF!</v>
      </c>
      <c r="O36" s="98"/>
      <c r="P36" s="98"/>
      <c r="Q36" s="98" t="e">
        <f t="shared" si="3"/>
        <v>#REF!</v>
      </c>
      <c r="R36" s="98"/>
      <c r="S36" s="98"/>
      <c r="T36" s="98" t="e">
        <f t="shared" si="5"/>
        <v>#REF!</v>
      </c>
    </row>
    <row r="37" spans="1:20" x14ac:dyDescent="0.2">
      <c r="A37" s="94">
        <v>4</v>
      </c>
      <c r="B37" s="95" t="s">
        <v>328</v>
      </c>
      <c r="C37" s="96">
        <v>14743.62</v>
      </c>
      <c r="D37" s="96">
        <v>-12753.45</v>
      </c>
      <c r="E37" s="96">
        <v>2020.19</v>
      </c>
      <c r="F37" s="96">
        <v>14743.62</v>
      </c>
      <c r="G37" s="96">
        <v>43805.34</v>
      </c>
      <c r="H37" s="96">
        <v>-341.22</v>
      </c>
      <c r="I37" s="96">
        <v>14743.62</v>
      </c>
      <c r="J37" s="96">
        <v>15213.67</v>
      </c>
      <c r="K37" s="97">
        <v>3709.8</v>
      </c>
      <c r="N37" s="98" t="e">
        <f t="shared" si="4"/>
        <v>#REF!</v>
      </c>
      <c r="O37" s="98"/>
      <c r="P37" s="98"/>
      <c r="Q37" s="98" t="e">
        <f t="shared" si="3"/>
        <v>#REF!</v>
      </c>
      <c r="R37" s="98"/>
      <c r="S37" s="98"/>
      <c r="T37" s="98" t="e">
        <f t="shared" si="5"/>
        <v>#REF!</v>
      </c>
    </row>
    <row r="38" spans="1:20" x14ac:dyDescent="0.2">
      <c r="A38" s="94">
        <v>5</v>
      </c>
      <c r="B38" s="95" t="s">
        <v>328</v>
      </c>
      <c r="C38" s="96">
        <v>-42682.11</v>
      </c>
      <c r="D38" s="96">
        <v>-6546.95</v>
      </c>
      <c r="E38" s="96">
        <v>4297.22</v>
      </c>
      <c r="F38" s="96">
        <v>-42682.11</v>
      </c>
      <c r="G38" s="96">
        <v>13624.47</v>
      </c>
      <c r="H38" s="96">
        <v>4136.8999999999996</v>
      </c>
      <c r="I38" s="96">
        <v>-42682.11</v>
      </c>
      <c r="J38" s="96">
        <v>13624.47</v>
      </c>
      <c r="K38" s="97">
        <v>4136.8999999999996</v>
      </c>
      <c r="N38" s="98" t="e">
        <f t="shared" si="4"/>
        <v>#REF!</v>
      </c>
      <c r="O38" s="98"/>
      <c r="P38" s="98"/>
      <c r="Q38" s="98" t="e">
        <f t="shared" si="3"/>
        <v>#REF!</v>
      </c>
      <c r="R38" s="98"/>
      <c r="S38" s="98"/>
      <c r="T38" s="98" t="e">
        <f t="shared" si="5"/>
        <v>#REF!</v>
      </c>
    </row>
    <row r="39" spans="1:20" x14ac:dyDescent="0.2">
      <c r="A39" s="94">
        <v>6</v>
      </c>
      <c r="B39" s="95" t="s">
        <v>328</v>
      </c>
      <c r="C39" s="96">
        <v>14743.62</v>
      </c>
      <c r="D39" s="96">
        <v>-12753.45</v>
      </c>
      <c r="E39" s="96">
        <v>2020.19</v>
      </c>
      <c r="F39" s="96">
        <v>14743.62</v>
      </c>
      <c r="G39" s="96">
        <v>15213.67</v>
      </c>
      <c r="H39" s="96">
        <v>3709.8</v>
      </c>
      <c r="I39" s="96">
        <v>14743.62</v>
      </c>
      <c r="J39" s="96">
        <v>43805.34</v>
      </c>
      <c r="K39" s="97">
        <v>-341.22</v>
      </c>
      <c r="N39" s="98" t="e">
        <f t="shared" si="4"/>
        <v>#REF!</v>
      </c>
      <c r="O39" s="98"/>
      <c r="P39" s="98"/>
      <c r="Q39" s="98" t="e">
        <f t="shared" si="3"/>
        <v>#REF!</v>
      </c>
      <c r="R39" s="98"/>
      <c r="S39" s="98"/>
      <c r="T39" s="98" t="e">
        <f t="shared" si="5"/>
        <v>#REF!</v>
      </c>
    </row>
    <row r="40" spans="1:20" x14ac:dyDescent="0.2">
      <c r="A40" s="94">
        <v>7</v>
      </c>
      <c r="B40" s="95" t="s">
        <v>328</v>
      </c>
      <c r="C40" s="96">
        <v>25194.22</v>
      </c>
      <c r="D40" s="96">
        <v>-22892.85</v>
      </c>
      <c r="E40" s="96">
        <v>1187.55</v>
      </c>
      <c r="F40" s="96">
        <v>25194.22</v>
      </c>
      <c r="G40" s="96">
        <v>43805.34</v>
      </c>
      <c r="H40" s="96">
        <v>-304.56</v>
      </c>
      <c r="I40" s="96">
        <v>25194.22</v>
      </c>
      <c r="J40" s="96">
        <v>44595.78</v>
      </c>
      <c r="K40" s="97">
        <v>1613.17</v>
      </c>
      <c r="N40" s="98" t="e">
        <f t="shared" si="4"/>
        <v>#REF!</v>
      </c>
      <c r="O40" s="98"/>
      <c r="P40" s="98"/>
      <c r="Q40" s="98" t="e">
        <f t="shared" si="3"/>
        <v>#REF!</v>
      </c>
      <c r="R40" s="98"/>
      <c r="S40" s="98"/>
      <c r="T40" s="98" t="e">
        <f t="shared" si="5"/>
        <v>#REF!</v>
      </c>
    </row>
    <row r="41" spans="1:20" x14ac:dyDescent="0.2">
      <c r="A41" s="94">
        <v>8</v>
      </c>
      <c r="B41" s="95" t="s">
        <v>328</v>
      </c>
      <c r="C41" s="96">
        <v>-48306.01</v>
      </c>
      <c r="D41" s="96">
        <v>-7193.75</v>
      </c>
      <c r="E41" s="96">
        <v>-788.47</v>
      </c>
      <c r="F41" s="96">
        <v>-48306.01</v>
      </c>
      <c r="G41" s="96">
        <v>47558.34</v>
      </c>
      <c r="H41" s="96">
        <v>1436.31</v>
      </c>
      <c r="I41" s="96">
        <v>-48306.01</v>
      </c>
      <c r="J41" s="96">
        <v>-25444.45</v>
      </c>
      <c r="K41" s="97">
        <v>-3303.37</v>
      </c>
      <c r="N41" s="98" t="e">
        <f t="shared" si="4"/>
        <v>#REF!</v>
      </c>
      <c r="O41" s="98"/>
      <c r="P41" s="98"/>
      <c r="Q41" s="98" t="e">
        <f t="shared" si="3"/>
        <v>#REF!</v>
      </c>
      <c r="R41" s="98"/>
      <c r="S41" s="98"/>
      <c r="T41" s="98" t="e">
        <f t="shared" si="5"/>
        <v>#REF!</v>
      </c>
    </row>
    <row r="42" spans="1:20" x14ac:dyDescent="0.2">
      <c r="A42" s="94">
        <v>9</v>
      </c>
      <c r="B42" s="95" t="s">
        <v>328</v>
      </c>
      <c r="C42" s="96">
        <v>25194.22</v>
      </c>
      <c r="D42" s="96">
        <v>-22892.85</v>
      </c>
      <c r="E42" s="96">
        <v>1187.55</v>
      </c>
      <c r="F42" s="96">
        <v>25194.22</v>
      </c>
      <c r="G42" s="96">
        <v>44595.78</v>
      </c>
      <c r="H42" s="96">
        <v>1613.17</v>
      </c>
      <c r="I42" s="96">
        <v>25194.22</v>
      </c>
      <c r="J42" s="96">
        <v>43805.34</v>
      </c>
      <c r="K42" s="97">
        <v>-304.56</v>
      </c>
      <c r="N42" s="98" t="e">
        <f t="shared" si="4"/>
        <v>#REF!</v>
      </c>
      <c r="O42" s="98"/>
      <c r="P42" s="98"/>
      <c r="Q42" s="98" t="e">
        <f t="shared" si="3"/>
        <v>#REF!</v>
      </c>
      <c r="R42" s="98"/>
      <c r="S42" s="98"/>
      <c r="T42" s="98" t="e">
        <f t="shared" si="5"/>
        <v>#REF!</v>
      </c>
    </row>
    <row r="43" spans="1:20" x14ac:dyDescent="0.2">
      <c r="A43" s="94">
        <v>10</v>
      </c>
      <c r="B43" s="95" t="s">
        <v>328</v>
      </c>
      <c r="C43" s="96">
        <v>14743.62</v>
      </c>
      <c r="D43" s="96">
        <v>12753.45</v>
      </c>
      <c r="E43" s="96">
        <v>2020.19</v>
      </c>
      <c r="F43" s="96">
        <v>14743.62</v>
      </c>
      <c r="G43" s="96">
        <v>-43805.34</v>
      </c>
      <c r="H43" s="96">
        <v>-341.22</v>
      </c>
      <c r="I43" s="96">
        <v>14743.62</v>
      </c>
      <c r="J43" s="96">
        <v>-15213.67</v>
      </c>
      <c r="K43" s="97">
        <v>3709.8</v>
      </c>
      <c r="N43" s="98" t="e">
        <f t="shared" si="4"/>
        <v>#REF!</v>
      </c>
      <c r="O43" s="98"/>
      <c r="P43" s="98"/>
      <c r="Q43" s="98" t="e">
        <f t="shared" si="3"/>
        <v>#REF!</v>
      </c>
      <c r="R43" s="98"/>
      <c r="S43" s="98"/>
      <c r="T43" s="98" t="e">
        <f t="shared" si="5"/>
        <v>#REF!</v>
      </c>
    </row>
    <row r="44" spans="1:20" x14ac:dyDescent="0.2">
      <c r="A44" s="94">
        <v>11</v>
      </c>
      <c r="B44" s="95" t="s">
        <v>328</v>
      </c>
      <c r="C44" s="96">
        <v>-42682.11</v>
      </c>
      <c r="D44" s="96">
        <v>6546.95</v>
      </c>
      <c r="E44" s="96">
        <v>4297.22</v>
      </c>
      <c r="F44" s="96">
        <v>-42682.11</v>
      </c>
      <c r="G44" s="96">
        <v>-13624.47</v>
      </c>
      <c r="H44" s="96">
        <v>4136.8999999999996</v>
      </c>
      <c r="I44" s="96">
        <v>-42682.11</v>
      </c>
      <c r="J44" s="96">
        <v>-13624.47</v>
      </c>
      <c r="K44" s="97">
        <v>4136.8999999999996</v>
      </c>
      <c r="N44" s="98" t="e">
        <f t="shared" si="4"/>
        <v>#REF!</v>
      </c>
      <c r="O44" s="98"/>
      <c r="P44" s="98"/>
      <c r="Q44" s="98" t="e">
        <f t="shared" si="3"/>
        <v>#REF!</v>
      </c>
      <c r="R44" s="98"/>
      <c r="S44" s="98"/>
      <c r="T44" s="98" t="e">
        <f t="shared" si="5"/>
        <v>#REF!</v>
      </c>
    </row>
    <row r="45" spans="1:20" x14ac:dyDescent="0.2">
      <c r="A45" s="94">
        <v>12</v>
      </c>
      <c r="B45" s="95" t="s">
        <v>328</v>
      </c>
      <c r="C45" s="96">
        <v>14743.62</v>
      </c>
      <c r="D45" s="96">
        <v>12753.45</v>
      </c>
      <c r="E45" s="96">
        <v>2020.19</v>
      </c>
      <c r="F45" s="96">
        <v>14743.62</v>
      </c>
      <c r="G45" s="96">
        <v>-15213.67</v>
      </c>
      <c r="H45" s="96">
        <v>3709.8</v>
      </c>
      <c r="I45" s="96">
        <v>14743.62</v>
      </c>
      <c r="J45" s="96">
        <v>-43805.34</v>
      </c>
      <c r="K45" s="97">
        <v>-341.22</v>
      </c>
      <c r="N45" s="98" t="e">
        <f t="shared" si="4"/>
        <v>#REF!</v>
      </c>
      <c r="O45" s="98"/>
      <c r="P45" s="98"/>
      <c r="Q45" s="98" t="e">
        <f t="shared" si="3"/>
        <v>#REF!</v>
      </c>
      <c r="R45" s="98"/>
      <c r="S45" s="98"/>
      <c r="T45" s="98" t="e">
        <f t="shared" si="5"/>
        <v>#REF!</v>
      </c>
    </row>
    <row r="46" spans="1:20" x14ac:dyDescent="0.2">
      <c r="A46" s="94">
        <v>13</v>
      </c>
      <c r="B46" s="95" t="s">
        <v>328</v>
      </c>
      <c r="C46" s="96">
        <v>-67091.39</v>
      </c>
      <c r="D46" s="96">
        <v>-542.24</v>
      </c>
      <c r="E46" s="96">
        <v>2728.35</v>
      </c>
      <c r="F46" s="96">
        <v>-67091.39</v>
      </c>
      <c r="G46" s="96">
        <v>-542.24</v>
      </c>
      <c r="H46" s="96">
        <v>296.2</v>
      </c>
      <c r="I46" s="96">
        <v>-67091.39</v>
      </c>
      <c r="J46" s="96">
        <v>-542.24</v>
      </c>
      <c r="K46" s="97">
        <v>296.2</v>
      </c>
      <c r="N46" s="98" t="e">
        <f t="shared" si="4"/>
        <v>#REF!</v>
      </c>
      <c r="O46" s="98"/>
      <c r="P46" s="98"/>
      <c r="Q46" s="98" t="e">
        <f t="shared" si="3"/>
        <v>#REF!</v>
      </c>
      <c r="R46" s="98"/>
      <c r="S46" s="98"/>
      <c r="T46" s="98" t="e">
        <f t="shared" si="5"/>
        <v>#REF!</v>
      </c>
    </row>
    <row r="47" spans="1:20" x14ac:dyDescent="0.2">
      <c r="A47" s="94">
        <v>14</v>
      </c>
      <c r="B47" s="95" t="s">
        <v>328</v>
      </c>
      <c r="C47" s="96">
        <v>-67091.39</v>
      </c>
      <c r="D47" s="96">
        <v>542.24</v>
      </c>
      <c r="E47" s="96">
        <v>2728.35</v>
      </c>
      <c r="F47" s="96">
        <v>-67091.39</v>
      </c>
      <c r="G47" s="96">
        <v>542.24</v>
      </c>
      <c r="H47" s="96">
        <v>296.2</v>
      </c>
      <c r="I47" s="96">
        <v>-67091.39</v>
      </c>
      <c r="J47" s="96">
        <v>542.24</v>
      </c>
      <c r="K47" s="97">
        <v>296.2</v>
      </c>
      <c r="N47" s="98" t="e">
        <f t="shared" si="4"/>
        <v>#REF!</v>
      </c>
      <c r="O47" s="98"/>
      <c r="P47" s="98"/>
      <c r="Q47" s="98" t="e">
        <f t="shared" si="3"/>
        <v>#REF!</v>
      </c>
      <c r="R47" s="98"/>
      <c r="S47" s="98"/>
      <c r="T47" s="98" t="e">
        <f t="shared" si="5"/>
        <v>#REF!</v>
      </c>
    </row>
    <row r="48" spans="1:20" x14ac:dyDescent="0.2">
      <c r="A48" s="94">
        <v>15</v>
      </c>
      <c r="B48" s="95" t="s">
        <v>328</v>
      </c>
      <c r="C48" s="96">
        <v>-93271.07</v>
      </c>
      <c r="D48" s="96">
        <v>-415.56</v>
      </c>
      <c r="E48" s="96">
        <v>1065.9100000000001</v>
      </c>
      <c r="F48" s="96">
        <v>-93271.07</v>
      </c>
      <c r="G48" s="96">
        <v>1589.2</v>
      </c>
      <c r="H48" s="96">
        <v>504.07</v>
      </c>
      <c r="I48" s="96">
        <v>-93271.07</v>
      </c>
      <c r="J48" s="96">
        <v>-2420.3200000000002</v>
      </c>
      <c r="K48" s="97">
        <v>-110.54</v>
      </c>
      <c r="N48" s="98" t="e">
        <f t="shared" si="4"/>
        <v>#REF!</v>
      </c>
      <c r="O48" s="98"/>
      <c r="P48" s="98"/>
      <c r="Q48" s="98" t="e">
        <f t="shared" si="3"/>
        <v>#REF!</v>
      </c>
      <c r="R48" s="98"/>
      <c r="S48" s="98"/>
      <c r="T48" s="98" t="e">
        <f t="shared" si="5"/>
        <v>#REF!</v>
      </c>
    </row>
    <row r="49" spans="1:20" x14ac:dyDescent="0.2">
      <c r="A49" s="94">
        <v>16</v>
      </c>
      <c r="B49" s="95" t="s">
        <v>328</v>
      </c>
      <c r="C49" s="96">
        <v>-93271.07</v>
      </c>
      <c r="D49" s="96">
        <v>415.56</v>
      </c>
      <c r="E49" s="96">
        <v>1065.9100000000001</v>
      </c>
      <c r="F49" s="96">
        <v>-93271.07</v>
      </c>
      <c r="G49" s="96">
        <v>-1589.2</v>
      </c>
      <c r="H49" s="96">
        <v>504.07</v>
      </c>
      <c r="I49" s="96">
        <v>-93271.07</v>
      </c>
      <c r="J49" s="96">
        <v>2420.3200000000002</v>
      </c>
      <c r="K49" s="97">
        <v>-110.54</v>
      </c>
      <c r="N49" s="98" t="e">
        <f t="shared" si="4"/>
        <v>#REF!</v>
      </c>
      <c r="O49" s="98"/>
      <c r="P49" s="98"/>
      <c r="Q49" s="98" t="e">
        <f t="shared" si="3"/>
        <v>#REF!</v>
      </c>
      <c r="R49" s="98"/>
      <c r="S49" s="98"/>
      <c r="T49" s="98" t="e">
        <f t="shared" si="5"/>
        <v>#REF!</v>
      </c>
    </row>
    <row r="50" spans="1:20" x14ac:dyDescent="0.2">
      <c r="A50" s="94">
        <v>17</v>
      </c>
      <c r="B50" s="95" t="s">
        <v>328</v>
      </c>
      <c r="C50" s="96">
        <v>-93271.07</v>
      </c>
      <c r="D50" s="96">
        <v>415.56</v>
      </c>
      <c r="E50" s="96">
        <v>1065.9100000000001</v>
      </c>
      <c r="F50" s="96">
        <v>-93271.07</v>
      </c>
      <c r="G50" s="96">
        <v>-1589.2</v>
      </c>
      <c r="H50" s="96">
        <v>504.07</v>
      </c>
      <c r="I50" s="96">
        <v>-93271.07</v>
      </c>
      <c r="J50" s="96">
        <v>2420.3200000000002</v>
      </c>
      <c r="K50" s="97">
        <v>-110.54</v>
      </c>
      <c r="N50" s="98" t="e">
        <f t="shared" si="4"/>
        <v>#REF!</v>
      </c>
      <c r="O50" s="98"/>
      <c r="P50" s="98"/>
      <c r="Q50" s="98" t="e">
        <f t="shared" si="3"/>
        <v>#REF!</v>
      </c>
      <c r="R50" s="98"/>
      <c r="S50" s="98"/>
      <c r="T50" s="98" t="e">
        <f t="shared" si="5"/>
        <v>#REF!</v>
      </c>
    </row>
    <row r="51" spans="1:20" x14ac:dyDescent="0.2">
      <c r="A51" s="94">
        <v>18</v>
      </c>
      <c r="B51" s="95" t="s">
        <v>328</v>
      </c>
      <c r="C51" s="96">
        <v>-93271.07</v>
      </c>
      <c r="D51" s="96">
        <v>-415.56</v>
      </c>
      <c r="E51" s="96">
        <v>1065.9100000000001</v>
      </c>
      <c r="F51" s="96">
        <v>-93271.07</v>
      </c>
      <c r="G51" s="96">
        <v>1589.2</v>
      </c>
      <c r="H51" s="96">
        <v>504.07</v>
      </c>
      <c r="I51" s="96">
        <v>-93271.07</v>
      </c>
      <c r="J51" s="96">
        <v>-2420.3200000000002</v>
      </c>
      <c r="K51" s="97">
        <v>-110.54</v>
      </c>
      <c r="N51" s="98" t="e">
        <f t="shared" si="4"/>
        <v>#REF!</v>
      </c>
      <c r="O51" s="98"/>
      <c r="P51" s="98"/>
      <c r="Q51" s="98" t="e">
        <f t="shared" si="3"/>
        <v>#REF!</v>
      </c>
      <c r="R51" s="98"/>
      <c r="S51" s="98"/>
      <c r="T51" s="98" t="e">
        <f t="shared" si="5"/>
        <v>#REF!</v>
      </c>
    </row>
    <row r="52" spans="1:20" x14ac:dyDescent="0.2">
      <c r="A52" s="94">
        <v>19</v>
      </c>
      <c r="B52" s="95" t="s">
        <v>328</v>
      </c>
      <c r="C52" s="96">
        <v>-48306.01</v>
      </c>
      <c r="D52" s="96">
        <v>7193.75</v>
      </c>
      <c r="E52" s="96">
        <v>-788.47</v>
      </c>
      <c r="F52" s="96">
        <v>-48306.01</v>
      </c>
      <c r="G52" s="96">
        <v>25444.45</v>
      </c>
      <c r="H52" s="96">
        <v>-3303.37</v>
      </c>
      <c r="I52" s="96">
        <v>-48306.01</v>
      </c>
      <c r="J52" s="96">
        <v>-47558.34</v>
      </c>
      <c r="K52" s="97">
        <v>1436.31</v>
      </c>
      <c r="N52" s="98" t="e">
        <f t="shared" si="4"/>
        <v>#REF!</v>
      </c>
      <c r="O52" s="98"/>
      <c r="P52" s="98"/>
      <c r="Q52" s="98" t="e">
        <f t="shared" si="3"/>
        <v>#REF!</v>
      </c>
      <c r="R52" s="98"/>
      <c r="S52" s="98"/>
      <c r="T52" s="98" t="e">
        <f t="shared" si="5"/>
        <v>#REF!</v>
      </c>
    </row>
    <row r="53" spans="1:20" x14ac:dyDescent="0.2">
      <c r="A53" s="94">
        <v>20</v>
      </c>
      <c r="B53" s="95" t="s">
        <v>328</v>
      </c>
      <c r="C53" s="96">
        <v>-48306.01</v>
      </c>
      <c r="D53" s="96">
        <v>-7193.75</v>
      </c>
      <c r="E53" s="96">
        <v>-788.47</v>
      </c>
      <c r="F53" s="96">
        <v>-48306.01</v>
      </c>
      <c r="G53" s="96">
        <v>-25444.45</v>
      </c>
      <c r="H53" s="96">
        <v>-3303.37</v>
      </c>
      <c r="I53" s="96">
        <v>-48306.01</v>
      </c>
      <c r="J53" s="96">
        <v>47558.34</v>
      </c>
      <c r="K53" s="97">
        <v>1436.31</v>
      </c>
      <c r="N53" s="98" t="e">
        <f t="shared" si="4"/>
        <v>#REF!</v>
      </c>
      <c r="O53" s="98"/>
      <c r="P53" s="98"/>
      <c r="Q53" s="98" t="e">
        <f t="shared" si="3"/>
        <v>#REF!</v>
      </c>
      <c r="R53" s="98"/>
      <c r="S53" s="98"/>
      <c r="T53" s="98" t="e">
        <f t="shared" si="5"/>
        <v>#REF!</v>
      </c>
    </row>
    <row r="54" spans="1:20" ht="13.5" thickBot="1" x14ac:dyDescent="0.25"/>
    <row r="55" spans="1:20" ht="14.25" x14ac:dyDescent="0.2">
      <c r="B55" s="1" t="s">
        <v>6</v>
      </c>
      <c r="C55" s="99" t="s">
        <v>238</v>
      </c>
      <c r="D55" s="100" t="s">
        <v>329</v>
      </c>
    </row>
    <row r="56" spans="1:20" ht="16.5" x14ac:dyDescent="0.2">
      <c r="B56" s="6" t="s">
        <v>239</v>
      </c>
      <c r="C56" s="2" t="s">
        <v>240</v>
      </c>
      <c r="D56" s="19" t="s">
        <v>240</v>
      </c>
    </row>
    <row r="57" spans="1:20" ht="15" thickBot="1" x14ac:dyDescent="0.25">
      <c r="B57" s="102" t="e">
        <f>+#REF!</f>
        <v>#REF!</v>
      </c>
      <c r="C57" s="102" t="e">
        <f>+#REF!</f>
        <v>#REF!</v>
      </c>
      <c r="D57" s="102" t="e">
        <f>+#REF!</f>
        <v>#REF!</v>
      </c>
      <c r="O57" s="104" t="e">
        <f>+MAX(N34:T53)</f>
        <v>#REF!</v>
      </c>
    </row>
    <row r="62" spans="1:20" x14ac:dyDescent="0.2">
      <c r="A62" t="s">
        <v>408</v>
      </c>
    </row>
    <row r="64" spans="1:20" x14ac:dyDescent="0.2">
      <c r="B64" s="5" t="s">
        <v>368</v>
      </c>
      <c r="C64" s="5" t="s">
        <v>53</v>
      </c>
      <c r="D64" s="5" t="s">
        <v>369</v>
      </c>
      <c r="E64" s="5" t="s">
        <v>370</v>
      </c>
      <c r="F64" s="5" t="s">
        <v>371</v>
      </c>
      <c r="G64" s="5" t="s">
        <v>372</v>
      </c>
      <c r="H64" s="5" t="s">
        <v>373</v>
      </c>
      <c r="I64" s="5" t="s">
        <v>374</v>
      </c>
      <c r="J64" s="5" t="s">
        <v>375</v>
      </c>
      <c r="K64" s="89"/>
      <c r="L64" s="89"/>
    </row>
    <row r="65" spans="2:12" x14ac:dyDescent="0.2">
      <c r="B65" s="5">
        <v>101</v>
      </c>
      <c r="C65" s="5" t="s">
        <v>376</v>
      </c>
      <c r="D65" s="5" t="s">
        <v>377</v>
      </c>
      <c r="E65" s="5">
        <v>3.07</v>
      </c>
      <c r="F65" s="5">
        <v>-0.27</v>
      </c>
      <c r="G65" s="5">
        <v>-1.69</v>
      </c>
      <c r="H65" s="5">
        <v>0</v>
      </c>
      <c r="I65" s="5">
        <v>-0.18</v>
      </c>
      <c r="J65" s="5">
        <v>0</v>
      </c>
      <c r="K65" s="89"/>
      <c r="L65" s="89"/>
    </row>
    <row r="66" spans="2:12" x14ac:dyDescent="0.2">
      <c r="B66" s="5">
        <v>101</v>
      </c>
      <c r="C66" s="5" t="s">
        <v>376</v>
      </c>
      <c r="D66" s="5" t="s">
        <v>378</v>
      </c>
      <c r="E66" s="5">
        <v>3.07</v>
      </c>
      <c r="F66" s="5">
        <v>0</v>
      </c>
      <c r="G66" s="5">
        <v>3.19</v>
      </c>
      <c r="H66" s="5">
        <v>0</v>
      </c>
      <c r="I66" s="5">
        <v>-2.48</v>
      </c>
      <c r="J66" s="5">
        <v>0.42</v>
      </c>
      <c r="K66" s="89"/>
      <c r="L66" s="89"/>
    </row>
    <row r="67" spans="2:12" x14ac:dyDescent="0.2">
      <c r="B67" s="5">
        <v>102</v>
      </c>
      <c r="C67" s="5" t="s">
        <v>376</v>
      </c>
      <c r="D67" s="5" t="s">
        <v>379</v>
      </c>
      <c r="E67" s="5">
        <v>-2.84</v>
      </c>
      <c r="F67" s="5">
        <v>0.19</v>
      </c>
      <c r="G67" s="5">
        <v>-5.28</v>
      </c>
      <c r="H67" s="5">
        <v>0</v>
      </c>
      <c r="I67" s="5">
        <v>-0.77</v>
      </c>
      <c r="J67" s="5">
        <v>0.43</v>
      </c>
      <c r="K67" s="89"/>
      <c r="L67" s="89"/>
    </row>
    <row r="68" spans="2:12" x14ac:dyDescent="0.2">
      <c r="B68" s="5">
        <v>102</v>
      </c>
      <c r="C68" s="5" t="s">
        <v>376</v>
      </c>
      <c r="D68" s="5" t="s">
        <v>380</v>
      </c>
      <c r="E68" s="5">
        <v>-2.84</v>
      </c>
      <c r="F68" s="5">
        <v>0.48</v>
      </c>
      <c r="G68" s="5">
        <v>0</v>
      </c>
      <c r="H68" s="5">
        <v>0</v>
      </c>
      <c r="I68" s="5">
        <v>7.94</v>
      </c>
      <c r="J68" s="5">
        <v>-0.67</v>
      </c>
      <c r="K68" s="89"/>
      <c r="L68" s="89"/>
    </row>
    <row r="69" spans="2:12" x14ac:dyDescent="0.2">
      <c r="B69" s="5">
        <v>103</v>
      </c>
      <c r="C69" s="5" t="s">
        <v>376</v>
      </c>
      <c r="D69" s="5" t="s">
        <v>381</v>
      </c>
      <c r="E69" s="5">
        <v>-2.84</v>
      </c>
      <c r="F69" s="5">
        <v>-0.48</v>
      </c>
      <c r="G69" s="5">
        <v>0</v>
      </c>
      <c r="H69" s="5">
        <v>0</v>
      </c>
      <c r="I69" s="5">
        <v>7.94</v>
      </c>
      <c r="J69" s="5">
        <v>-0.67</v>
      </c>
      <c r="K69" s="89"/>
      <c r="L69" s="89"/>
    </row>
    <row r="70" spans="2:12" x14ac:dyDescent="0.2">
      <c r="B70" s="5">
        <v>103</v>
      </c>
      <c r="C70" s="5" t="s">
        <v>376</v>
      </c>
      <c r="D70" s="5" t="s">
        <v>382</v>
      </c>
      <c r="E70" s="5">
        <v>-2.84</v>
      </c>
      <c r="F70" s="5">
        <v>-0.19</v>
      </c>
      <c r="G70" s="5">
        <v>5.28</v>
      </c>
      <c r="H70" s="5">
        <v>0</v>
      </c>
      <c r="I70" s="5">
        <v>-0.77</v>
      </c>
      <c r="J70" s="5">
        <v>0.43</v>
      </c>
      <c r="K70" s="89"/>
      <c r="L70" s="89"/>
    </row>
    <row r="71" spans="2:12" x14ac:dyDescent="0.2">
      <c r="B71" s="5">
        <v>104</v>
      </c>
      <c r="C71" s="5" t="s">
        <v>376</v>
      </c>
      <c r="D71" s="5" t="s">
        <v>383</v>
      </c>
      <c r="E71" s="5">
        <v>3.07</v>
      </c>
      <c r="F71" s="5">
        <v>0</v>
      </c>
      <c r="G71" s="5">
        <v>-3.19</v>
      </c>
      <c r="H71" s="5">
        <v>0</v>
      </c>
      <c r="I71" s="5">
        <v>-2.48</v>
      </c>
      <c r="J71" s="5">
        <v>0.42</v>
      </c>
      <c r="K71" s="89"/>
      <c r="L71" s="89"/>
    </row>
    <row r="72" spans="2:12" x14ac:dyDescent="0.2">
      <c r="B72" s="5">
        <v>104</v>
      </c>
      <c r="C72" s="5" t="s">
        <v>376</v>
      </c>
      <c r="D72" s="5" t="s">
        <v>384</v>
      </c>
      <c r="E72" s="5">
        <v>3.07</v>
      </c>
      <c r="F72" s="5">
        <v>0.27</v>
      </c>
      <c r="G72" s="5">
        <v>1.69</v>
      </c>
      <c r="H72" s="5">
        <v>0</v>
      </c>
      <c r="I72" s="5">
        <v>-0.18</v>
      </c>
      <c r="J72" s="5">
        <v>0</v>
      </c>
      <c r="K72" s="89"/>
      <c r="L72" s="89"/>
    </row>
    <row r="73" spans="2:12" x14ac:dyDescent="0.2">
      <c r="B73" s="5">
        <v>105</v>
      </c>
      <c r="C73" s="5" t="s">
        <v>376</v>
      </c>
      <c r="D73" s="5" t="s">
        <v>377</v>
      </c>
      <c r="E73" s="5">
        <v>1.19</v>
      </c>
      <c r="F73" s="5">
        <v>-0.5</v>
      </c>
      <c r="G73" s="5">
        <v>-0.24</v>
      </c>
      <c r="H73" s="5">
        <v>0</v>
      </c>
      <c r="I73" s="5">
        <v>0.18</v>
      </c>
      <c r="J73" s="5">
        <v>-0.7</v>
      </c>
      <c r="K73" s="89"/>
      <c r="L73" s="89"/>
    </row>
    <row r="74" spans="2:12" x14ac:dyDescent="0.2">
      <c r="B74" s="5">
        <v>105</v>
      </c>
      <c r="C74" s="5" t="s">
        <v>376</v>
      </c>
      <c r="D74" s="5" t="s">
        <v>385</v>
      </c>
      <c r="E74" s="5">
        <v>1.19</v>
      </c>
      <c r="F74" s="5">
        <v>-0.24</v>
      </c>
      <c r="G74" s="5">
        <v>-5.12</v>
      </c>
      <c r="H74" s="5">
        <v>0</v>
      </c>
      <c r="I74" s="5">
        <v>8.34</v>
      </c>
      <c r="J74" s="5">
        <v>0.43</v>
      </c>
      <c r="K74" s="89"/>
      <c r="L74" s="89"/>
    </row>
    <row r="75" spans="2:12" x14ac:dyDescent="0.2">
      <c r="B75" s="5">
        <v>106</v>
      </c>
      <c r="C75" s="5" t="s">
        <v>376</v>
      </c>
      <c r="D75" s="5" t="s">
        <v>386</v>
      </c>
      <c r="E75" s="5">
        <v>-10.18</v>
      </c>
      <c r="F75" s="5">
        <v>-0.19</v>
      </c>
      <c r="G75" s="5">
        <v>-1.81</v>
      </c>
      <c r="H75" s="5">
        <v>0</v>
      </c>
      <c r="I75" s="5">
        <v>-6.1</v>
      </c>
      <c r="J75" s="5">
        <v>0</v>
      </c>
      <c r="K75" s="89"/>
      <c r="L75" s="89"/>
    </row>
    <row r="76" spans="2:12" x14ac:dyDescent="0.2">
      <c r="B76" s="5">
        <v>106</v>
      </c>
      <c r="C76" s="5" t="s">
        <v>376</v>
      </c>
      <c r="D76" s="5" t="s">
        <v>378</v>
      </c>
      <c r="E76" s="5">
        <v>-10.18</v>
      </c>
      <c r="F76" s="5">
        <v>0.19</v>
      </c>
      <c r="G76" s="5">
        <v>-1.81</v>
      </c>
      <c r="H76" s="5">
        <v>0</v>
      </c>
      <c r="I76" s="5">
        <v>1.71</v>
      </c>
      <c r="J76" s="5">
        <v>0</v>
      </c>
      <c r="K76" s="89"/>
      <c r="L76" s="89"/>
    </row>
    <row r="77" spans="2:12" x14ac:dyDescent="0.2">
      <c r="B77" s="5">
        <v>107</v>
      </c>
      <c r="C77" s="5" t="s">
        <v>376</v>
      </c>
      <c r="D77" s="5" t="s">
        <v>387</v>
      </c>
      <c r="E77" s="5">
        <v>-10.18</v>
      </c>
      <c r="F77" s="5">
        <v>-0.19</v>
      </c>
      <c r="G77" s="5">
        <v>1.81</v>
      </c>
      <c r="H77" s="5">
        <v>0</v>
      </c>
      <c r="I77" s="5">
        <v>6.1</v>
      </c>
      <c r="J77" s="5">
        <v>0</v>
      </c>
      <c r="K77" s="89"/>
      <c r="L77" s="89"/>
    </row>
    <row r="78" spans="2:12" x14ac:dyDescent="0.2">
      <c r="B78" s="5">
        <v>107</v>
      </c>
      <c r="C78" s="5" t="s">
        <v>376</v>
      </c>
      <c r="D78" s="5" t="s">
        <v>382</v>
      </c>
      <c r="E78" s="5">
        <v>-10.18</v>
      </c>
      <c r="F78" s="5">
        <v>0.19</v>
      </c>
      <c r="G78" s="5">
        <v>1.81</v>
      </c>
      <c r="H78" s="5">
        <v>0</v>
      </c>
      <c r="I78" s="5">
        <v>-1.71</v>
      </c>
      <c r="J78" s="5">
        <v>0</v>
      </c>
      <c r="K78" s="89"/>
      <c r="L78" s="89"/>
    </row>
    <row r="79" spans="2:12" x14ac:dyDescent="0.2">
      <c r="B79" s="5">
        <v>108</v>
      </c>
      <c r="C79" s="5" t="s">
        <v>376</v>
      </c>
      <c r="D79" s="5" t="s">
        <v>388</v>
      </c>
      <c r="E79" s="5">
        <v>1.19</v>
      </c>
      <c r="F79" s="5">
        <v>-0.5</v>
      </c>
      <c r="G79" s="5">
        <v>0.24</v>
      </c>
      <c r="H79" s="5">
        <v>0</v>
      </c>
      <c r="I79" s="5">
        <v>-0.18</v>
      </c>
      <c r="J79" s="5">
        <v>-0.7</v>
      </c>
      <c r="K79" s="89"/>
      <c r="L79" s="89"/>
    </row>
    <row r="80" spans="2:12" x14ac:dyDescent="0.2">
      <c r="B80" s="5">
        <v>108</v>
      </c>
      <c r="C80" s="5" t="s">
        <v>376</v>
      </c>
      <c r="D80" s="5" t="s">
        <v>389</v>
      </c>
      <c r="E80" s="5">
        <v>1.19</v>
      </c>
      <c r="F80" s="5">
        <v>-0.24</v>
      </c>
      <c r="G80" s="5">
        <v>5.12</v>
      </c>
      <c r="H80" s="5">
        <v>0</v>
      </c>
      <c r="I80" s="5">
        <v>-8.34</v>
      </c>
      <c r="J80" s="5">
        <v>0.43</v>
      </c>
      <c r="K80" s="89"/>
      <c r="L80" s="89"/>
    </row>
    <row r="81" spans="2:12" x14ac:dyDescent="0.2">
      <c r="B81" s="5">
        <v>109</v>
      </c>
      <c r="C81" s="5" t="s">
        <v>376</v>
      </c>
      <c r="D81" s="5" t="s">
        <v>386</v>
      </c>
      <c r="E81" s="5">
        <v>-7.28</v>
      </c>
      <c r="F81" s="5">
        <v>-0.04</v>
      </c>
      <c r="G81" s="5">
        <v>0.8</v>
      </c>
      <c r="H81" s="5">
        <v>0</v>
      </c>
      <c r="I81" s="5">
        <v>14.44</v>
      </c>
      <c r="J81" s="5">
        <v>0.42</v>
      </c>
      <c r="K81" s="89"/>
      <c r="L81" s="89"/>
    </row>
    <row r="82" spans="2:12" x14ac:dyDescent="0.2">
      <c r="B82" s="5">
        <v>109</v>
      </c>
      <c r="C82" s="5" t="s">
        <v>376</v>
      </c>
      <c r="D82" s="5" t="s">
        <v>390</v>
      </c>
      <c r="E82" s="5">
        <v>-7.28</v>
      </c>
      <c r="F82" s="5">
        <v>0.04</v>
      </c>
      <c r="G82" s="5">
        <v>-0.8</v>
      </c>
      <c r="H82" s="5">
        <v>0</v>
      </c>
      <c r="I82" s="5">
        <v>14.44</v>
      </c>
      <c r="J82" s="5">
        <v>0.42</v>
      </c>
      <c r="K82" s="89"/>
      <c r="L82" s="89"/>
    </row>
    <row r="83" spans="2:12" x14ac:dyDescent="0.2">
      <c r="B83" s="5">
        <v>110</v>
      </c>
      <c r="C83" s="5" t="s">
        <v>376</v>
      </c>
      <c r="D83" s="5" t="s">
        <v>387</v>
      </c>
      <c r="E83" s="5">
        <v>-7.28</v>
      </c>
      <c r="F83" s="5">
        <v>-0.04</v>
      </c>
      <c r="G83" s="5">
        <v>-0.8</v>
      </c>
      <c r="H83" s="5">
        <v>0</v>
      </c>
      <c r="I83" s="5">
        <v>-14.44</v>
      </c>
      <c r="J83" s="5">
        <v>0.42</v>
      </c>
      <c r="K83" s="89"/>
      <c r="L83" s="89"/>
    </row>
    <row r="84" spans="2:12" x14ac:dyDescent="0.2">
      <c r="B84" s="5">
        <v>110</v>
      </c>
      <c r="C84" s="5" t="s">
        <v>376</v>
      </c>
      <c r="D84" s="5" t="s">
        <v>391</v>
      </c>
      <c r="E84" s="5">
        <v>-7.28</v>
      </c>
      <c r="F84" s="5">
        <v>0.04</v>
      </c>
      <c r="G84" s="5">
        <v>0.8</v>
      </c>
      <c r="H84" s="5">
        <v>0</v>
      </c>
      <c r="I84" s="5">
        <v>-14.44</v>
      </c>
      <c r="J84" s="5">
        <v>0.42</v>
      </c>
      <c r="K84" s="89"/>
      <c r="L84" s="89"/>
    </row>
    <row r="85" spans="2:12" x14ac:dyDescent="0.2">
      <c r="B85" s="5">
        <v>111</v>
      </c>
      <c r="C85" s="5" t="s">
        <v>376</v>
      </c>
      <c r="D85" s="5" t="s">
        <v>392</v>
      </c>
      <c r="E85" s="5">
        <v>1.19</v>
      </c>
      <c r="F85" s="5">
        <v>0.24</v>
      </c>
      <c r="G85" s="5">
        <v>5.12</v>
      </c>
      <c r="H85" s="5">
        <v>0</v>
      </c>
      <c r="I85" s="5">
        <v>8.34</v>
      </c>
      <c r="J85" s="5">
        <v>0.43</v>
      </c>
      <c r="K85" s="89"/>
      <c r="L85" s="89"/>
    </row>
    <row r="86" spans="2:12" x14ac:dyDescent="0.2">
      <c r="B86" s="5">
        <v>111</v>
      </c>
      <c r="C86" s="5" t="s">
        <v>376</v>
      </c>
      <c r="D86" s="5" t="s">
        <v>393</v>
      </c>
      <c r="E86" s="5">
        <v>1.19</v>
      </c>
      <c r="F86" s="5">
        <v>0.5</v>
      </c>
      <c r="G86" s="5">
        <v>0.24</v>
      </c>
      <c r="H86" s="5">
        <v>0</v>
      </c>
      <c r="I86" s="5">
        <v>0.18</v>
      </c>
      <c r="J86" s="5">
        <v>-0.7</v>
      </c>
      <c r="K86" s="89"/>
      <c r="L86" s="89"/>
    </row>
    <row r="87" spans="2:12" x14ac:dyDescent="0.2">
      <c r="B87" s="5">
        <v>112</v>
      </c>
      <c r="C87" s="5" t="s">
        <v>376</v>
      </c>
      <c r="D87" s="5" t="s">
        <v>394</v>
      </c>
      <c r="E87" s="5">
        <v>-10.18</v>
      </c>
      <c r="F87" s="5">
        <v>-0.19</v>
      </c>
      <c r="G87" s="5">
        <v>1.81</v>
      </c>
      <c r="H87" s="5">
        <v>0</v>
      </c>
      <c r="I87" s="5">
        <v>1.71</v>
      </c>
      <c r="J87" s="5">
        <v>0</v>
      </c>
      <c r="K87" s="89"/>
      <c r="L87" s="89"/>
    </row>
    <row r="88" spans="2:12" x14ac:dyDescent="0.2">
      <c r="B88" s="5">
        <v>112</v>
      </c>
      <c r="C88" s="5" t="s">
        <v>376</v>
      </c>
      <c r="D88" s="5" t="s">
        <v>390</v>
      </c>
      <c r="E88" s="5">
        <v>-10.18</v>
      </c>
      <c r="F88" s="5">
        <v>0.19</v>
      </c>
      <c r="G88" s="5">
        <v>1.81</v>
      </c>
      <c r="H88" s="5">
        <v>0</v>
      </c>
      <c r="I88" s="5">
        <v>-6.1</v>
      </c>
      <c r="J88" s="5">
        <v>0</v>
      </c>
      <c r="K88" s="89"/>
      <c r="L88" s="89"/>
    </row>
    <row r="89" spans="2:12" x14ac:dyDescent="0.2">
      <c r="B89" s="5">
        <v>113</v>
      </c>
      <c r="C89" s="5" t="s">
        <v>376</v>
      </c>
      <c r="D89" s="5" t="s">
        <v>395</v>
      </c>
      <c r="E89" s="5">
        <v>-10.18</v>
      </c>
      <c r="F89" s="5">
        <v>-0.19</v>
      </c>
      <c r="G89" s="5">
        <v>-1.81</v>
      </c>
      <c r="H89" s="5">
        <v>0</v>
      </c>
      <c r="I89" s="5">
        <v>-1.71</v>
      </c>
      <c r="J89" s="5">
        <v>0</v>
      </c>
      <c r="K89" s="89"/>
      <c r="L89" s="89"/>
    </row>
    <row r="90" spans="2:12" x14ac:dyDescent="0.2">
      <c r="B90" s="5">
        <v>113</v>
      </c>
      <c r="C90" s="5" t="s">
        <v>376</v>
      </c>
      <c r="D90" s="5" t="s">
        <v>391</v>
      </c>
      <c r="E90" s="5">
        <v>-10.18</v>
      </c>
      <c r="F90" s="5">
        <v>0.19</v>
      </c>
      <c r="G90" s="5">
        <v>-1.81</v>
      </c>
      <c r="H90" s="5">
        <v>0</v>
      </c>
      <c r="I90" s="5">
        <v>6.1</v>
      </c>
      <c r="J90" s="5">
        <v>0</v>
      </c>
      <c r="K90" s="89"/>
      <c r="L90" s="89"/>
    </row>
    <row r="91" spans="2:12" x14ac:dyDescent="0.2">
      <c r="B91" s="5">
        <v>114</v>
      </c>
      <c r="C91" s="5" t="s">
        <v>376</v>
      </c>
      <c r="D91" s="5" t="s">
        <v>396</v>
      </c>
      <c r="E91" s="5">
        <v>1.19</v>
      </c>
      <c r="F91" s="5">
        <v>0.24</v>
      </c>
      <c r="G91" s="5">
        <v>-5.12</v>
      </c>
      <c r="H91" s="5">
        <v>0</v>
      </c>
      <c r="I91" s="5">
        <v>-8.34</v>
      </c>
      <c r="J91" s="5">
        <v>0.43</v>
      </c>
      <c r="K91" s="89"/>
      <c r="L91" s="89"/>
    </row>
    <row r="92" spans="2:12" x14ac:dyDescent="0.2">
      <c r="B92" s="5">
        <v>114</v>
      </c>
      <c r="C92" s="5" t="s">
        <v>376</v>
      </c>
      <c r="D92" s="5" t="s">
        <v>397</v>
      </c>
      <c r="E92" s="5">
        <v>1.19</v>
      </c>
      <c r="F92" s="5">
        <v>0.5</v>
      </c>
      <c r="G92" s="5">
        <v>-0.24</v>
      </c>
      <c r="H92" s="5">
        <v>0</v>
      </c>
      <c r="I92" s="5">
        <v>-0.18</v>
      </c>
      <c r="J92" s="5">
        <v>-0.7</v>
      </c>
      <c r="K92" s="89"/>
      <c r="L92" s="89"/>
    </row>
    <row r="93" spans="2:12" x14ac:dyDescent="0.2">
      <c r="B93" s="5">
        <v>115</v>
      </c>
      <c r="C93" s="5" t="s">
        <v>376</v>
      </c>
      <c r="D93" s="5" t="s">
        <v>398</v>
      </c>
      <c r="E93" s="5">
        <v>3.07</v>
      </c>
      <c r="F93" s="5">
        <v>-0.27</v>
      </c>
      <c r="G93" s="5">
        <v>1.69</v>
      </c>
      <c r="H93" s="5">
        <v>0</v>
      </c>
      <c r="I93" s="5">
        <v>0.18</v>
      </c>
      <c r="J93" s="5">
        <v>0</v>
      </c>
      <c r="K93" s="89"/>
      <c r="L93" s="89"/>
    </row>
    <row r="94" spans="2:12" x14ac:dyDescent="0.2">
      <c r="B94" s="5">
        <v>115</v>
      </c>
      <c r="C94" s="5" t="s">
        <v>376</v>
      </c>
      <c r="D94" s="5" t="s">
        <v>399</v>
      </c>
      <c r="E94" s="5">
        <v>3.07</v>
      </c>
      <c r="F94" s="5">
        <v>0</v>
      </c>
      <c r="G94" s="5">
        <v>-3.19</v>
      </c>
      <c r="H94" s="5">
        <v>0</v>
      </c>
      <c r="I94" s="5">
        <v>2.48</v>
      </c>
      <c r="J94" s="5">
        <v>0.42</v>
      </c>
      <c r="K94" s="89"/>
      <c r="L94" s="89"/>
    </row>
    <row r="95" spans="2:12" x14ac:dyDescent="0.2">
      <c r="B95" s="5">
        <v>116</v>
      </c>
      <c r="C95" s="5" t="s">
        <v>376</v>
      </c>
      <c r="D95" s="5" t="s">
        <v>394</v>
      </c>
      <c r="E95" s="5">
        <v>-2.84</v>
      </c>
      <c r="F95" s="5">
        <v>0.19</v>
      </c>
      <c r="G95" s="5">
        <v>5.28</v>
      </c>
      <c r="H95" s="5">
        <v>0</v>
      </c>
      <c r="I95" s="5">
        <v>0.77</v>
      </c>
      <c r="J95" s="5">
        <v>0.43</v>
      </c>
      <c r="K95" s="89"/>
      <c r="L95" s="89"/>
    </row>
    <row r="96" spans="2:12" x14ac:dyDescent="0.2">
      <c r="B96" s="5">
        <v>116</v>
      </c>
      <c r="C96" s="5" t="s">
        <v>376</v>
      </c>
      <c r="D96" s="5" t="s">
        <v>400</v>
      </c>
      <c r="E96" s="5">
        <v>-2.84</v>
      </c>
      <c r="F96" s="5">
        <v>0.48</v>
      </c>
      <c r="G96" s="5">
        <v>0</v>
      </c>
      <c r="H96" s="5">
        <v>0</v>
      </c>
      <c r="I96" s="5">
        <v>-7.94</v>
      </c>
      <c r="J96" s="5">
        <v>-0.67</v>
      </c>
      <c r="K96" s="89"/>
      <c r="L96" s="89"/>
    </row>
    <row r="97" spans="1:12" x14ac:dyDescent="0.2">
      <c r="B97" s="5">
        <v>117</v>
      </c>
      <c r="C97" s="5" t="s">
        <v>376</v>
      </c>
      <c r="D97" s="5" t="s">
        <v>401</v>
      </c>
      <c r="E97" s="5">
        <v>-2.84</v>
      </c>
      <c r="F97" s="5">
        <v>-0.48</v>
      </c>
      <c r="G97" s="5">
        <v>0</v>
      </c>
      <c r="H97" s="5">
        <v>0</v>
      </c>
      <c r="I97" s="5">
        <v>-7.94</v>
      </c>
      <c r="J97" s="5">
        <v>-0.67</v>
      </c>
      <c r="K97" s="89"/>
      <c r="L97" s="89"/>
    </row>
    <row r="98" spans="1:12" x14ac:dyDescent="0.2">
      <c r="B98" s="5">
        <v>117</v>
      </c>
      <c r="C98" s="5" t="s">
        <v>376</v>
      </c>
      <c r="D98" s="5" t="s">
        <v>402</v>
      </c>
      <c r="E98" s="5">
        <v>-2.84</v>
      </c>
      <c r="F98" s="5">
        <v>-0.19</v>
      </c>
      <c r="G98" s="5">
        <v>-5.28</v>
      </c>
      <c r="H98" s="5">
        <v>0</v>
      </c>
      <c r="I98" s="5">
        <v>0.77</v>
      </c>
      <c r="J98" s="5">
        <v>0.43</v>
      </c>
      <c r="K98" s="89"/>
      <c r="L98" s="89"/>
    </row>
    <row r="99" spans="1:12" x14ac:dyDescent="0.2">
      <c r="B99" s="5">
        <v>118</v>
      </c>
      <c r="C99" s="5" t="s">
        <v>376</v>
      </c>
      <c r="D99" s="5" t="s">
        <v>395</v>
      </c>
      <c r="E99" s="5">
        <v>3.07</v>
      </c>
      <c r="F99" s="5">
        <v>0</v>
      </c>
      <c r="G99" s="5">
        <v>3.19</v>
      </c>
      <c r="H99" s="5">
        <v>0</v>
      </c>
      <c r="I99" s="5">
        <v>2.48</v>
      </c>
      <c r="J99" s="5">
        <v>0.42</v>
      </c>
      <c r="K99" s="89"/>
      <c r="L99" s="89"/>
    </row>
    <row r="100" spans="1:12" x14ac:dyDescent="0.2">
      <c r="B100" s="5">
        <v>118</v>
      </c>
      <c r="C100" s="5" t="s">
        <v>376</v>
      </c>
      <c r="D100" s="5" t="s">
        <v>397</v>
      </c>
      <c r="E100" s="5">
        <v>3.07</v>
      </c>
      <c r="F100" s="5">
        <v>0.27</v>
      </c>
      <c r="G100" s="5">
        <v>-1.69</v>
      </c>
      <c r="H100" s="5">
        <v>0</v>
      </c>
      <c r="I100" s="5">
        <v>0.18</v>
      </c>
      <c r="J100" s="5">
        <v>0</v>
      </c>
      <c r="K100" s="89"/>
      <c r="L100" s="89"/>
    </row>
    <row r="101" spans="1:12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89"/>
      <c r="L101" s="89"/>
    </row>
    <row r="102" spans="1:12" x14ac:dyDescent="0.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1:12" x14ac:dyDescent="0.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1:12" x14ac:dyDescent="0.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1:12" x14ac:dyDescent="0.2">
      <c r="A105" t="s">
        <v>409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1:12" x14ac:dyDescent="0.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1:12" x14ac:dyDescent="0.2">
      <c r="B107" s="89"/>
      <c r="C107" s="5" t="s">
        <v>368</v>
      </c>
      <c r="D107" s="5" t="s">
        <v>53</v>
      </c>
      <c r="E107" s="5" t="s">
        <v>369</v>
      </c>
      <c r="F107" s="5" t="s">
        <v>370</v>
      </c>
      <c r="G107" s="5" t="s">
        <v>371</v>
      </c>
      <c r="H107" s="5" t="s">
        <v>372</v>
      </c>
      <c r="I107" s="5" t="s">
        <v>373</v>
      </c>
      <c r="J107" s="5" t="s">
        <v>374</v>
      </c>
      <c r="K107" s="5" t="s">
        <v>375</v>
      </c>
      <c r="L107" s="89"/>
    </row>
    <row r="108" spans="1:12" x14ac:dyDescent="0.2">
      <c r="B108" s="89"/>
      <c r="C108" s="5">
        <v>101</v>
      </c>
      <c r="D108" s="5" t="s">
        <v>376</v>
      </c>
      <c r="E108" s="5" t="s">
        <v>377</v>
      </c>
      <c r="F108" s="5">
        <v>4.04</v>
      </c>
      <c r="G108" s="5">
        <v>-0.27</v>
      </c>
      <c r="H108" s="5">
        <v>-2.21</v>
      </c>
      <c r="I108" s="5">
        <v>0</v>
      </c>
      <c r="J108" s="5">
        <v>-0.23</v>
      </c>
      <c r="K108" s="5">
        <v>0</v>
      </c>
      <c r="L108" s="89"/>
    </row>
    <row r="109" spans="1:12" x14ac:dyDescent="0.2">
      <c r="B109" s="89"/>
      <c r="C109" s="5">
        <v>101</v>
      </c>
      <c r="D109" s="5" t="s">
        <v>376</v>
      </c>
      <c r="E109" s="5" t="s">
        <v>378</v>
      </c>
      <c r="F109" s="5">
        <v>4.04</v>
      </c>
      <c r="G109" s="5">
        <v>0</v>
      </c>
      <c r="H109" s="5">
        <v>4.1900000000000004</v>
      </c>
      <c r="I109" s="5">
        <v>0</v>
      </c>
      <c r="J109" s="5">
        <v>-3.25</v>
      </c>
      <c r="K109" s="5">
        <v>0.42</v>
      </c>
      <c r="L109" s="89"/>
    </row>
    <row r="110" spans="1:12" x14ac:dyDescent="0.2">
      <c r="B110" s="89"/>
      <c r="C110" s="5">
        <v>102</v>
      </c>
      <c r="D110" s="5" t="s">
        <v>376</v>
      </c>
      <c r="E110" s="5" t="s">
        <v>379</v>
      </c>
      <c r="F110" s="5">
        <v>-3.73</v>
      </c>
      <c r="G110" s="5">
        <v>0.19</v>
      </c>
      <c r="H110" s="5">
        <v>-6.93</v>
      </c>
      <c r="I110" s="5">
        <v>0</v>
      </c>
      <c r="J110" s="5">
        <v>-1.01</v>
      </c>
      <c r="K110" s="5">
        <v>0.43</v>
      </c>
      <c r="L110" s="89"/>
    </row>
    <row r="111" spans="1:12" x14ac:dyDescent="0.2">
      <c r="B111" s="89"/>
      <c r="C111" s="5">
        <v>102</v>
      </c>
      <c r="D111" s="5" t="s">
        <v>376</v>
      </c>
      <c r="E111" s="5" t="s">
        <v>380</v>
      </c>
      <c r="F111" s="5">
        <v>-3.73</v>
      </c>
      <c r="G111" s="5">
        <v>0.48</v>
      </c>
      <c r="H111" s="5">
        <v>0</v>
      </c>
      <c r="I111" s="5">
        <v>0</v>
      </c>
      <c r="J111" s="5">
        <v>10.42</v>
      </c>
      <c r="K111" s="5">
        <v>-0.67</v>
      </c>
      <c r="L111" s="89"/>
    </row>
    <row r="112" spans="1:12" x14ac:dyDescent="0.2">
      <c r="B112" s="89"/>
      <c r="C112" s="5">
        <v>103</v>
      </c>
      <c r="D112" s="5" t="s">
        <v>376</v>
      </c>
      <c r="E112" s="5" t="s">
        <v>381</v>
      </c>
      <c r="F112" s="5">
        <v>-3.73</v>
      </c>
      <c r="G112" s="5">
        <v>-0.48</v>
      </c>
      <c r="H112" s="5">
        <v>0</v>
      </c>
      <c r="I112" s="5">
        <v>0</v>
      </c>
      <c r="J112" s="5">
        <v>10.42</v>
      </c>
      <c r="K112" s="5">
        <v>-0.67</v>
      </c>
      <c r="L112" s="89"/>
    </row>
    <row r="113" spans="2:12" x14ac:dyDescent="0.2">
      <c r="B113" s="89"/>
      <c r="C113" s="5">
        <v>103</v>
      </c>
      <c r="D113" s="5" t="s">
        <v>376</v>
      </c>
      <c r="E113" s="5" t="s">
        <v>382</v>
      </c>
      <c r="F113" s="5">
        <v>-3.73</v>
      </c>
      <c r="G113" s="5">
        <v>-0.19</v>
      </c>
      <c r="H113" s="5">
        <v>6.93</v>
      </c>
      <c r="I113" s="5">
        <v>0</v>
      </c>
      <c r="J113" s="5">
        <v>-1.01</v>
      </c>
      <c r="K113" s="5">
        <v>0.43</v>
      </c>
      <c r="L113" s="89"/>
    </row>
    <row r="114" spans="2:12" x14ac:dyDescent="0.2">
      <c r="B114" s="89"/>
      <c r="C114" s="5">
        <v>104</v>
      </c>
      <c r="D114" s="5" t="s">
        <v>376</v>
      </c>
      <c r="E114" s="5" t="s">
        <v>383</v>
      </c>
      <c r="F114" s="5">
        <v>4.04</v>
      </c>
      <c r="G114" s="5">
        <v>0</v>
      </c>
      <c r="H114" s="5">
        <v>-4.1900000000000004</v>
      </c>
      <c r="I114" s="5">
        <v>0</v>
      </c>
      <c r="J114" s="5">
        <v>-3.25</v>
      </c>
      <c r="K114" s="5">
        <v>0.42</v>
      </c>
      <c r="L114" s="89"/>
    </row>
    <row r="115" spans="2:12" x14ac:dyDescent="0.2">
      <c r="B115" s="89"/>
      <c r="C115" s="5">
        <v>104</v>
      </c>
      <c r="D115" s="5" t="s">
        <v>376</v>
      </c>
      <c r="E115" s="5" t="s">
        <v>384</v>
      </c>
      <c r="F115" s="5">
        <v>4.04</v>
      </c>
      <c r="G115" s="5">
        <v>0.27</v>
      </c>
      <c r="H115" s="5">
        <v>2.21</v>
      </c>
      <c r="I115" s="5">
        <v>0</v>
      </c>
      <c r="J115" s="5">
        <v>-0.23</v>
      </c>
      <c r="K115" s="5">
        <v>0</v>
      </c>
      <c r="L115" s="89"/>
    </row>
    <row r="116" spans="2:12" x14ac:dyDescent="0.2">
      <c r="B116" s="89"/>
      <c r="C116" s="5">
        <v>105</v>
      </c>
      <c r="D116" s="5" t="s">
        <v>376</v>
      </c>
      <c r="E116" s="5" t="s">
        <v>377</v>
      </c>
      <c r="F116" s="5">
        <v>1.57</v>
      </c>
      <c r="G116" s="5">
        <v>-0.5</v>
      </c>
      <c r="H116" s="5">
        <v>-0.31</v>
      </c>
      <c r="I116" s="5">
        <v>0</v>
      </c>
      <c r="J116" s="5">
        <v>0.23</v>
      </c>
      <c r="K116" s="5">
        <v>-0.7</v>
      </c>
      <c r="L116" s="89"/>
    </row>
    <row r="117" spans="2:12" x14ac:dyDescent="0.2">
      <c r="B117" s="89"/>
      <c r="C117" s="5">
        <v>105</v>
      </c>
      <c r="D117" s="5" t="s">
        <v>376</v>
      </c>
      <c r="E117" s="5" t="s">
        <v>385</v>
      </c>
      <c r="F117" s="5">
        <v>1.57</v>
      </c>
      <c r="G117" s="5">
        <v>-0.24</v>
      </c>
      <c r="H117" s="5">
        <v>-6.71</v>
      </c>
      <c r="I117" s="5">
        <v>0</v>
      </c>
      <c r="J117" s="5">
        <v>10.95</v>
      </c>
      <c r="K117" s="5">
        <v>0.43</v>
      </c>
      <c r="L117" s="89"/>
    </row>
    <row r="118" spans="2:12" x14ac:dyDescent="0.2">
      <c r="B118" s="89"/>
      <c r="C118" s="5">
        <v>106</v>
      </c>
      <c r="D118" s="5" t="s">
        <v>376</v>
      </c>
      <c r="E118" s="5" t="s">
        <v>386</v>
      </c>
      <c r="F118" s="5">
        <v>-13.36</v>
      </c>
      <c r="G118" s="5">
        <v>-0.19</v>
      </c>
      <c r="H118" s="5">
        <v>-2.37</v>
      </c>
      <c r="I118" s="5">
        <v>0</v>
      </c>
      <c r="J118" s="5">
        <v>-8</v>
      </c>
      <c r="K118" s="5">
        <v>0</v>
      </c>
      <c r="L118" s="89"/>
    </row>
    <row r="119" spans="2:12" x14ac:dyDescent="0.2">
      <c r="B119" s="89"/>
      <c r="C119" s="5">
        <v>106</v>
      </c>
      <c r="D119" s="5" t="s">
        <v>376</v>
      </c>
      <c r="E119" s="5" t="s">
        <v>378</v>
      </c>
      <c r="F119" s="5">
        <v>-13.36</v>
      </c>
      <c r="G119" s="5">
        <v>0.19</v>
      </c>
      <c r="H119" s="5">
        <v>-2.37</v>
      </c>
      <c r="I119" s="5">
        <v>0</v>
      </c>
      <c r="J119" s="5">
        <v>2.2400000000000002</v>
      </c>
      <c r="K119" s="5">
        <v>0</v>
      </c>
      <c r="L119" s="89"/>
    </row>
    <row r="120" spans="2:12" x14ac:dyDescent="0.2">
      <c r="B120" s="89"/>
      <c r="C120" s="5">
        <v>107</v>
      </c>
      <c r="D120" s="5" t="s">
        <v>376</v>
      </c>
      <c r="E120" s="5" t="s">
        <v>387</v>
      </c>
      <c r="F120" s="5">
        <v>-13.36</v>
      </c>
      <c r="G120" s="5">
        <v>-0.19</v>
      </c>
      <c r="H120" s="5">
        <v>2.37</v>
      </c>
      <c r="I120" s="5">
        <v>0</v>
      </c>
      <c r="J120" s="5">
        <v>8</v>
      </c>
      <c r="K120" s="5">
        <v>0</v>
      </c>
      <c r="L120" s="89"/>
    </row>
    <row r="121" spans="2:12" x14ac:dyDescent="0.2">
      <c r="B121" s="89"/>
      <c r="C121" s="5">
        <v>107</v>
      </c>
      <c r="D121" s="5" t="s">
        <v>376</v>
      </c>
      <c r="E121" s="5" t="s">
        <v>382</v>
      </c>
      <c r="F121" s="5">
        <v>-13.36</v>
      </c>
      <c r="G121" s="5">
        <v>0.19</v>
      </c>
      <c r="H121" s="5">
        <v>2.37</v>
      </c>
      <c r="I121" s="5">
        <v>0</v>
      </c>
      <c r="J121" s="5">
        <v>-2.2400000000000002</v>
      </c>
      <c r="K121" s="5">
        <v>0</v>
      </c>
      <c r="L121" s="89"/>
    </row>
    <row r="122" spans="2:12" x14ac:dyDescent="0.2">
      <c r="B122" s="89"/>
      <c r="C122" s="5">
        <v>108</v>
      </c>
      <c r="D122" s="5" t="s">
        <v>376</v>
      </c>
      <c r="E122" s="5" t="s">
        <v>388</v>
      </c>
      <c r="F122" s="5">
        <v>1.57</v>
      </c>
      <c r="G122" s="5">
        <v>-0.5</v>
      </c>
      <c r="H122" s="5">
        <v>0.31</v>
      </c>
      <c r="I122" s="5">
        <v>0</v>
      </c>
      <c r="J122" s="5">
        <v>-0.23</v>
      </c>
      <c r="K122" s="5">
        <v>-0.7</v>
      </c>
      <c r="L122" s="89"/>
    </row>
    <row r="123" spans="2:12" x14ac:dyDescent="0.2">
      <c r="B123" s="89"/>
      <c r="C123" s="5">
        <v>108</v>
      </c>
      <c r="D123" s="5" t="s">
        <v>376</v>
      </c>
      <c r="E123" s="5" t="s">
        <v>389</v>
      </c>
      <c r="F123" s="5">
        <v>1.57</v>
      </c>
      <c r="G123" s="5">
        <v>-0.24</v>
      </c>
      <c r="H123" s="5">
        <v>6.71</v>
      </c>
      <c r="I123" s="5">
        <v>0</v>
      </c>
      <c r="J123" s="5">
        <v>-10.95</v>
      </c>
      <c r="K123" s="5">
        <v>0.43</v>
      </c>
      <c r="L123" s="89"/>
    </row>
    <row r="124" spans="2:12" x14ac:dyDescent="0.2">
      <c r="B124" s="89"/>
      <c r="C124" s="5">
        <v>109</v>
      </c>
      <c r="D124" s="5" t="s">
        <v>376</v>
      </c>
      <c r="E124" s="5" t="s">
        <v>386</v>
      </c>
      <c r="F124" s="5">
        <v>-9.56</v>
      </c>
      <c r="G124" s="5">
        <v>-0.04</v>
      </c>
      <c r="H124" s="5">
        <v>1.05</v>
      </c>
      <c r="I124" s="5">
        <v>0</v>
      </c>
      <c r="J124" s="5">
        <v>18.95</v>
      </c>
      <c r="K124" s="5">
        <v>0.42</v>
      </c>
      <c r="L124" s="89"/>
    </row>
    <row r="125" spans="2:12" x14ac:dyDescent="0.2">
      <c r="B125" s="89"/>
      <c r="C125" s="5">
        <v>109</v>
      </c>
      <c r="D125" s="5" t="s">
        <v>376</v>
      </c>
      <c r="E125" s="5" t="s">
        <v>390</v>
      </c>
      <c r="F125" s="5">
        <v>-9.56</v>
      </c>
      <c r="G125" s="5">
        <v>0.04</v>
      </c>
      <c r="H125" s="5">
        <v>-1.05</v>
      </c>
      <c r="I125" s="5">
        <v>0</v>
      </c>
      <c r="J125" s="5">
        <v>18.95</v>
      </c>
      <c r="K125" s="5">
        <v>0.42</v>
      </c>
      <c r="L125" s="89"/>
    </row>
    <row r="126" spans="2:12" x14ac:dyDescent="0.2">
      <c r="B126" s="89"/>
      <c r="C126" s="5">
        <v>110</v>
      </c>
      <c r="D126" s="5" t="s">
        <v>376</v>
      </c>
      <c r="E126" s="5" t="s">
        <v>387</v>
      </c>
      <c r="F126" s="5">
        <v>-9.56</v>
      </c>
      <c r="G126" s="5">
        <v>-0.04</v>
      </c>
      <c r="H126" s="5">
        <v>-1.05</v>
      </c>
      <c r="I126" s="5">
        <v>0</v>
      </c>
      <c r="J126" s="5">
        <v>-18.95</v>
      </c>
      <c r="K126" s="5">
        <v>0.42</v>
      </c>
      <c r="L126" s="89"/>
    </row>
    <row r="127" spans="2:12" x14ac:dyDescent="0.2">
      <c r="B127" s="89"/>
      <c r="C127" s="5">
        <v>110</v>
      </c>
      <c r="D127" s="5" t="s">
        <v>376</v>
      </c>
      <c r="E127" s="5" t="s">
        <v>391</v>
      </c>
      <c r="F127" s="5">
        <v>-9.56</v>
      </c>
      <c r="G127" s="5">
        <v>0.04</v>
      </c>
      <c r="H127" s="5">
        <v>1.05</v>
      </c>
      <c r="I127" s="5">
        <v>0</v>
      </c>
      <c r="J127" s="5">
        <v>-18.95</v>
      </c>
      <c r="K127" s="5">
        <v>0.42</v>
      </c>
      <c r="L127" s="89"/>
    </row>
    <row r="128" spans="2:12" x14ac:dyDescent="0.2">
      <c r="B128" s="89"/>
      <c r="C128" s="5">
        <v>111</v>
      </c>
      <c r="D128" s="5" t="s">
        <v>376</v>
      </c>
      <c r="E128" s="5" t="s">
        <v>392</v>
      </c>
      <c r="F128" s="5">
        <v>1.57</v>
      </c>
      <c r="G128" s="5">
        <v>0.24</v>
      </c>
      <c r="H128" s="5">
        <v>6.71</v>
      </c>
      <c r="I128" s="5">
        <v>0</v>
      </c>
      <c r="J128" s="5">
        <v>10.95</v>
      </c>
      <c r="K128" s="5">
        <v>0.43</v>
      </c>
      <c r="L128" s="89"/>
    </row>
    <row r="129" spans="2:12" x14ac:dyDescent="0.2">
      <c r="B129" s="89"/>
      <c r="C129" s="5">
        <v>111</v>
      </c>
      <c r="D129" s="5" t="s">
        <v>376</v>
      </c>
      <c r="E129" s="5" t="s">
        <v>393</v>
      </c>
      <c r="F129" s="5">
        <v>1.57</v>
      </c>
      <c r="G129" s="5">
        <v>0.5</v>
      </c>
      <c r="H129" s="5">
        <v>0.31</v>
      </c>
      <c r="I129" s="5">
        <v>0</v>
      </c>
      <c r="J129" s="5">
        <v>0.23</v>
      </c>
      <c r="K129" s="5">
        <v>-0.7</v>
      </c>
      <c r="L129" s="89"/>
    </row>
    <row r="130" spans="2:12" x14ac:dyDescent="0.2">
      <c r="B130" s="89"/>
      <c r="C130" s="5">
        <v>112</v>
      </c>
      <c r="D130" s="5" t="s">
        <v>376</v>
      </c>
      <c r="E130" s="5" t="s">
        <v>394</v>
      </c>
      <c r="F130" s="5">
        <v>-13.36</v>
      </c>
      <c r="G130" s="5">
        <v>-0.19</v>
      </c>
      <c r="H130" s="5">
        <v>2.37</v>
      </c>
      <c r="I130" s="5">
        <v>0</v>
      </c>
      <c r="J130" s="5">
        <v>2.2400000000000002</v>
      </c>
      <c r="K130" s="5">
        <v>0</v>
      </c>
      <c r="L130" s="89"/>
    </row>
    <row r="131" spans="2:12" x14ac:dyDescent="0.2">
      <c r="B131" s="89"/>
      <c r="C131" s="5">
        <v>112</v>
      </c>
      <c r="D131" s="5" t="s">
        <v>376</v>
      </c>
      <c r="E131" s="5" t="s">
        <v>390</v>
      </c>
      <c r="F131" s="5">
        <v>-13.36</v>
      </c>
      <c r="G131" s="5">
        <v>0.19</v>
      </c>
      <c r="H131" s="5">
        <v>2.37</v>
      </c>
      <c r="I131" s="5">
        <v>0</v>
      </c>
      <c r="J131" s="5">
        <v>-8</v>
      </c>
      <c r="K131" s="5">
        <v>0</v>
      </c>
      <c r="L131" s="89"/>
    </row>
    <row r="132" spans="2:12" x14ac:dyDescent="0.2">
      <c r="B132" s="89"/>
      <c r="C132" s="5">
        <v>113</v>
      </c>
      <c r="D132" s="5" t="s">
        <v>376</v>
      </c>
      <c r="E132" s="5" t="s">
        <v>395</v>
      </c>
      <c r="F132" s="5">
        <v>-13.36</v>
      </c>
      <c r="G132" s="5">
        <v>-0.19</v>
      </c>
      <c r="H132" s="5">
        <v>-2.37</v>
      </c>
      <c r="I132" s="5">
        <v>0</v>
      </c>
      <c r="J132" s="5">
        <v>-2.2400000000000002</v>
      </c>
      <c r="K132" s="5">
        <v>0</v>
      </c>
      <c r="L132" s="89"/>
    </row>
    <row r="133" spans="2:12" x14ac:dyDescent="0.2">
      <c r="B133" s="89"/>
      <c r="C133" s="5">
        <v>113</v>
      </c>
      <c r="D133" s="5" t="s">
        <v>376</v>
      </c>
      <c r="E133" s="5" t="s">
        <v>391</v>
      </c>
      <c r="F133" s="5">
        <v>-13.36</v>
      </c>
      <c r="G133" s="5">
        <v>0.19</v>
      </c>
      <c r="H133" s="5">
        <v>-2.37</v>
      </c>
      <c r="I133" s="5">
        <v>0</v>
      </c>
      <c r="J133" s="5">
        <v>8</v>
      </c>
      <c r="K133" s="5">
        <v>0</v>
      </c>
      <c r="L133" s="89"/>
    </row>
    <row r="134" spans="2:12" x14ac:dyDescent="0.2">
      <c r="B134" s="89"/>
      <c r="C134" s="5">
        <v>114</v>
      </c>
      <c r="D134" s="5" t="s">
        <v>376</v>
      </c>
      <c r="E134" s="5" t="s">
        <v>396</v>
      </c>
      <c r="F134" s="5">
        <v>1.57</v>
      </c>
      <c r="G134" s="5">
        <v>0.24</v>
      </c>
      <c r="H134" s="5">
        <v>-6.71</v>
      </c>
      <c r="I134" s="5">
        <v>0</v>
      </c>
      <c r="J134" s="5">
        <v>-10.95</v>
      </c>
      <c r="K134" s="5">
        <v>0.43</v>
      </c>
      <c r="L134" s="89"/>
    </row>
    <row r="135" spans="2:12" x14ac:dyDescent="0.2">
      <c r="B135" s="89"/>
      <c r="C135" s="5">
        <v>114</v>
      </c>
      <c r="D135" s="5" t="s">
        <v>376</v>
      </c>
      <c r="E135" s="5" t="s">
        <v>397</v>
      </c>
      <c r="F135" s="5">
        <v>1.57</v>
      </c>
      <c r="G135" s="5">
        <v>0.5</v>
      </c>
      <c r="H135" s="5">
        <v>-0.31</v>
      </c>
      <c r="I135" s="5">
        <v>0</v>
      </c>
      <c r="J135" s="5">
        <v>-0.23</v>
      </c>
      <c r="K135" s="5">
        <v>-0.7</v>
      </c>
      <c r="L135" s="89"/>
    </row>
    <row r="136" spans="2:12" x14ac:dyDescent="0.2">
      <c r="B136" s="89"/>
      <c r="C136" s="5">
        <v>115</v>
      </c>
      <c r="D136" s="5" t="s">
        <v>376</v>
      </c>
      <c r="E136" s="5" t="s">
        <v>398</v>
      </c>
      <c r="F136" s="5">
        <v>4.04</v>
      </c>
      <c r="G136" s="5">
        <v>-0.27</v>
      </c>
      <c r="H136" s="5">
        <v>2.21</v>
      </c>
      <c r="I136" s="5">
        <v>0</v>
      </c>
      <c r="J136" s="5">
        <v>0.23</v>
      </c>
      <c r="K136" s="5">
        <v>0</v>
      </c>
      <c r="L136" s="89"/>
    </row>
    <row r="137" spans="2:12" x14ac:dyDescent="0.2">
      <c r="B137" s="89"/>
      <c r="C137" s="5">
        <v>115</v>
      </c>
      <c r="D137" s="5" t="s">
        <v>376</v>
      </c>
      <c r="E137" s="5" t="s">
        <v>399</v>
      </c>
      <c r="F137" s="5">
        <v>4.04</v>
      </c>
      <c r="G137" s="5">
        <v>0</v>
      </c>
      <c r="H137" s="5">
        <v>-4.1900000000000004</v>
      </c>
      <c r="I137" s="5">
        <v>0</v>
      </c>
      <c r="J137" s="5">
        <v>3.25</v>
      </c>
      <c r="K137" s="5">
        <v>0.42</v>
      </c>
      <c r="L137" s="89"/>
    </row>
    <row r="138" spans="2:12" x14ac:dyDescent="0.2">
      <c r="B138" s="89"/>
      <c r="C138" s="5">
        <v>116</v>
      </c>
      <c r="D138" s="5" t="s">
        <v>376</v>
      </c>
      <c r="E138" s="5" t="s">
        <v>394</v>
      </c>
      <c r="F138" s="5">
        <v>-3.73</v>
      </c>
      <c r="G138" s="5">
        <v>0.19</v>
      </c>
      <c r="H138" s="5">
        <v>6.93</v>
      </c>
      <c r="I138" s="5">
        <v>0</v>
      </c>
      <c r="J138" s="5">
        <v>1.01</v>
      </c>
      <c r="K138" s="5">
        <v>0.43</v>
      </c>
      <c r="L138" s="89"/>
    </row>
    <row r="139" spans="2:12" x14ac:dyDescent="0.2">
      <c r="B139" s="89"/>
      <c r="C139" s="5">
        <v>116</v>
      </c>
      <c r="D139" s="5" t="s">
        <v>376</v>
      </c>
      <c r="E139" s="5" t="s">
        <v>400</v>
      </c>
      <c r="F139" s="5">
        <v>-3.73</v>
      </c>
      <c r="G139" s="5">
        <v>0.48</v>
      </c>
      <c r="H139" s="5">
        <v>0</v>
      </c>
      <c r="I139" s="5">
        <v>0</v>
      </c>
      <c r="J139" s="5">
        <v>-10.42</v>
      </c>
      <c r="K139" s="5">
        <v>-0.67</v>
      </c>
      <c r="L139" s="89"/>
    </row>
    <row r="140" spans="2:12" x14ac:dyDescent="0.2">
      <c r="B140" s="89"/>
      <c r="C140" s="5">
        <v>117</v>
      </c>
      <c r="D140" s="5" t="s">
        <v>376</v>
      </c>
      <c r="E140" s="5" t="s">
        <v>401</v>
      </c>
      <c r="F140" s="5">
        <v>-3.73</v>
      </c>
      <c r="G140" s="5">
        <v>-0.48</v>
      </c>
      <c r="H140" s="5">
        <v>0</v>
      </c>
      <c r="I140" s="5">
        <v>0</v>
      </c>
      <c r="J140" s="5">
        <v>-10.42</v>
      </c>
      <c r="K140" s="5">
        <v>-0.67</v>
      </c>
      <c r="L140" s="89"/>
    </row>
    <row r="141" spans="2:12" x14ac:dyDescent="0.2">
      <c r="B141" s="89"/>
      <c r="C141" s="5">
        <v>117</v>
      </c>
      <c r="D141" s="5" t="s">
        <v>376</v>
      </c>
      <c r="E141" s="5" t="s">
        <v>402</v>
      </c>
      <c r="F141" s="5">
        <v>-3.73</v>
      </c>
      <c r="G141" s="5">
        <v>-0.19</v>
      </c>
      <c r="H141" s="5">
        <v>-6.93</v>
      </c>
      <c r="I141" s="5">
        <v>0</v>
      </c>
      <c r="J141" s="5">
        <v>1.01</v>
      </c>
      <c r="K141" s="5">
        <v>0.43</v>
      </c>
      <c r="L141" s="89"/>
    </row>
    <row r="142" spans="2:12" x14ac:dyDescent="0.2">
      <c r="B142" s="89"/>
      <c r="C142" s="5">
        <v>118</v>
      </c>
      <c r="D142" s="5" t="s">
        <v>376</v>
      </c>
      <c r="E142" s="5" t="s">
        <v>395</v>
      </c>
      <c r="F142" s="5">
        <v>4.04</v>
      </c>
      <c r="G142" s="5">
        <v>0</v>
      </c>
      <c r="H142" s="5">
        <v>4.1900000000000004</v>
      </c>
      <c r="I142" s="5">
        <v>0</v>
      </c>
      <c r="J142" s="5">
        <v>3.25</v>
      </c>
      <c r="K142" s="5">
        <v>0.42</v>
      </c>
      <c r="L142" s="89"/>
    </row>
    <row r="143" spans="2:12" x14ac:dyDescent="0.2">
      <c r="B143" s="89"/>
      <c r="C143" s="5">
        <v>118</v>
      </c>
      <c r="D143" s="5" t="s">
        <v>376</v>
      </c>
      <c r="E143" s="5" t="s">
        <v>397</v>
      </c>
      <c r="F143" s="5">
        <v>4.04</v>
      </c>
      <c r="G143" s="5">
        <v>0.27</v>
      </c>
      <c r="H143" s="5">
        <v>-2.21</v>
      </c>
      <c r="I143" s="5">
        <v>0</v>
      </c>
      <c r="J143" s="5">
        <v>0.23</v>
      </c>
      <c r="K143" s="5">
        <v>0</v>
      </c>
      <c r="L143" s="89"/>
    </row>
    <row r="144" spans="2:12" x14ac:dyDescent="0.2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 x14ac:dyDescent="0.2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 x14ac:dyDescent="0.2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 x14ac:dyDescent="0.2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 x14ac:dyDescent="0.2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 x14ac:dyDescent="0.2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 x14ac:dyDescent="0.2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 x14ac:dyDescent="0.2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 x14ac:dyDescent="0.2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 x14ac:dyDescent="0.2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 x14ac:dyDescent="0.2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39"/>
  <sheetViews>
    <sheetView view="pageBreakPreview" topLeftCell="A16" zoomScaleNormal="115" workbookViewId="0">
      <selection activeCell="D10" sqref="D10"/>
    </sheetView>
  </sheetViews>
  <sheetFormatPr defaultRowHeight="12.75" x14ac:dyDescent="0.2"/>
  <cols>
    <col min="1" max="1" width="7.5703125" customWidth="1"/>
    <col min="2" max="2" width="7" customWidth="1"/>
    <col min="3" max="3" width="12.28515625" style="89" customWidth="1"/>
    <col min="4" max="4" width="13.140625" style="89" customWidth="1"/>
    <col min="5" max="5" width="11.140625" style="348" customWidth="1"/>
    <col min="6" max="6" width="11.85546875" customWidth="1"/>
    <col min="7" max="7" width="15.85546875" customWidth="1"/>
    <col min="17" max="17" width="5.7109375" customWidth="1"/>
    <col min="18" max="18" width="2.85546875" customWidth="1"/>
    <col min="21" max="21" width="11.85546875" customWidth="1"/>
    <col min="22" max="22" width="12.140625" customWidth="1"/>
    <col min="23" max="23" width="11.28515625" customWidth="1"/>
    <col min="24" max="24" width="11.85546875" customWidth="1"/>
  </cols>
  <sheetData>
    <row r="1" spans="1:23" ht="20.100000000000001" customHeight="1" x14ac:dyDescent="0.25">
      <c r="A1" s="481" t="s">
        <v>413</v>
      </c>
      <c r="B1" s="481"/>
      <c r="C1" s="481"/>
      <c r="D1" s="481"/>
      <c r="E1" s="481"/>
      <c r="F1" s="481"/>
      <c r="G1" s="481"/>
    </row>
    <row r="2" spans="1:23" ht="20.100000000000001" customHeight="1" x14ac:dyDescent="0.25">
      <c r="A2" s="481" t="s">
        <v>414</v>
      </c>
      <c r="B2" s="481"/>
      <c r="C2" s="481"/>
      <c r="D2" s="481"/>
      <c r="E2" s="481"/>
      <c r="F2" s="481"/>
      <c r="G2" s="481"/>
    </row>
    <row r="3" spans="1:23" ht="18" customHeight="1" thickBot="1" x14ac:dyDescent="0.25">
      <c r="A3" s="488"/>
      <c r="B3" s="488"/>
      <c r="C3" s="488"/>
      <c r="D3" s="488"/>
      <c r="E3" s="488"/>
      <c r="F3" s="488"/>
      <c r="G3" s="308"/>
    </row>
    <row r="4" spans="1:23" ht="54.75" customHeight="1" thickTop="1" thickBot="1" x14ac:dyDescent="0.25">
      <c r="A4" s="309" t="s">
        <v>415</v>
      </c>
      <c r="B4" s="310" t="s">
        <v>416</v>
      </c>
      <c r="C4" s="310" t="s">
        <v>417</v>
      </c>
      <c r="D4" s="310" t="s">
        <v>418</v>
      </c>
      <c r="E4" s="310" t="s">
        <v>419</v>
      </c>
      <c r="F4" s="311" t="s">
        <v>420</v>
      </c>
      <c r="G4" s="312" t="s">
        <v>421</v>
      </c>
      <c r="H4" s="313"/>
    </row>
    <row r="5" spans="1:23" ht="26.1" customHeight="1" thickTop="1" x14ac:dyDescent="0.2">
      <c r="A5" s="482" t="s">
        <v>422</v>
      </c>
      <c r="B5" s="314" t="s">
        <v>423</v>
      </c>
      <c r="C5" s="314"/>
      <c r="D5" s="314"/>
      <c r="E5" s="314"/>
      <c r="F5" s="315"/>
      <c r="G5" s="316"/>
      <c r="H5" s="313"/>
      <c r="O5" s="492" t="s">
        <v>424</v>
      </c>
      <c r="P5" s="493"/>
      <c r="Q5" s="493"/>
      <c r="R5" s="493"/>
      <c r="S5" s="493"/>
      <c r="T5" s="493"/>
      <c r="U5" s="493"/>
      <c r="V5" s="494"/>
      <c r="W5" s="317"/>
    </row>
    <row r="6" spans="1:23" s="318" customFormat="1" ht="26.1" customHeight="1" x14ac:dyDescent="0.2">
      <c r="A6" s="484"/>
      <c r="B6" s="314" t="s">
        <v>425</v>
      </c>
      <c r="C6" s="314"/>
      <c r="D6" s="314"/>
      <c r="E6" s="314"/>
      <c r="F6" s="315"/>
      <c r="G6" s="316"/>
      <c r="H6" s="278"/>
      <c r="O6" s="495" t="s">
        <v>426</v>
      </c>
      <c r="P6" s="497" t="s">
        <v>427</v>
      </c>
      <c r="Q6" s="498"/>
      <c r="R6" s="319"/>
      <c r="S6" s="320" t="s">
        <v>428</v>
      </c>
      <c r="T6" s="501" t="s">
        <v>429</v>
      </c>
      <c r="U6" s="321" t="s">
        <v>430</v>
      </c>
      <c r="V6" s="322" t="s">
        <v>431</v>
      </c>
      <c r="W6" s="323"/>
    </row>
    <row r="7" spans="1:23" s="318" customFormat="1" ht="26.1" customHeight="1" x14ac:dyDescent="0.2">
      <c r="A7" s="482" t="s">
        <v>432</v>
      </c>
      <c r="B7" s="314" t="s">
        <v>433</v>
      </c>
      <c r="C7" s="324">
        <v>388.75</v>
      </c>
      <c r="D7" s="324"/>
      <c r="E7" s="314"/>
      <c r="F7" s="325">
        <f>(100*76.1*6)/1000</f>
        <v>45.659999999999989</v>
      </c>
      <c r="G7" s="326" t="s">
        <v>434</v>
      </c>
      <c r="H7" s="278"/>
      <c r="O7" s="496"/>
      <c r="P7" s="499"/>
      <c r="Q7" s="500"/>
      <c r="R7" s="327"/>
      <c r="S7" s="328" t="s">
        <v>435</v>
      </c>
      <c r="T7" s="502"/>
      <c r="U7" s="329" t="s">
        <v>436</v>
      </c>
      <c r="V7" s="330" t="s">
        <v>203</v>
      </c>
      <c r="W7" s="331" t="s">
        <v>25</v>
      </c>
    </row>
    <row r="8" spans="1:23" s="318" customFormat="1" ht="26.1" customHeight="1" x14ac:dyDescent="0.2">
      <c r="A8" s="483"/>
      <c r="B8" s="314" t="s">
        <v>437</v>
      </c>
      <c r="C8" s="324">
        <v>700.8</v>
      </c>
      <c r="D8" s="325">
        <f>134.64*1</f>
        <v>134.63999999999999</v>
      </c>
      <c r="E8" s="314">
        <v>9.4499999999999993</v>
      </c>
      <c r="F8" s="325">
        <f>(120*76.1*9)/1000</f>
        <v>82.188000000000002</v>
      </c>
      <c r="G8" s="326" t="s">
        <v>438</v>
      </c>
      <c r="H8" s="278"/>
      <c r="O8" s="332">
        <v>1</v>
      </c>
      <c r="P8" s="489" t="s">
        <v>439</v>
      </c>
      <c r="Q8" s="490"/>
      <c r="R8" s="491"/>
      <c r="S8" s="333">
        <v>9900</v>
      </c>
      <c r="T8" s="333">
        <v>2</v>
      </c>
      <c r="U8" s="334">
        <f>56*2</f>
        <v>112</v>
      </c>
      <c r="V8" s="335">
        <f>(S8*U8*T8/1000)</f>
        <v>2217.6</v>
      </c>
      <c r="W8" s="323">
        <f>+V8/1000</f>
        <v>2.2176</v>
      </c>
    </row>
    <row r="9" spans="1:23" s="318" customFormat="1" ht="26.1" customHeight="1" x14ac:dyDescent="0.2">
      <c r="A9" s="483"/>
      <c r="B9" s="314" t="s">
        <v>440</v>
      </c>
      <c r="C9" s="324">
        <v>971.43</v>
      </c>
      <c r="D9" s="325">
        <f>134.64*1.8</f>
        <v>242.35199999999998</v>
      </c>
      <c r="E9" s="324">
        <f>9.45*2</f>
        <v>18.899999999999999</v>
      </c>
      <c r="F9" s="325">
        <f>(120*76.1*12)/1000</f>
        <v>109.584</v>
      </c>
      <c r="G9" s="326" t="s">
        <v>441</v>
      </c>
      <c r="H9" s="278"/>
      <c r="O9" s="332">
        <v>2</v>
      </c>
      <c r="P9" s="489" t="s">
        <v>439</v>
      </c>
      <c r="Q9" s="490"/>
      <c r="R9" s="491"/>
      <c r="S9" s="333">
        <v>13000</v>
      </c>
      <c r="T9" s="333">
        <v>2</v>
      </c>
      <c r="U9" s="334">
        <f>56*2</f>
        <v>112</v>
      </c>
      <c r="V9" s="335">
        <f>(S9*U9*T9/1000)</f>
        <v>2912</v>
      </c>
      <c r="W9" s="323">
        <f>+V9/1000</f>
        <v>2.9119999999999999</v>
      </c>
    </row>
    <row r="10" spans="1:23" s="318" customFormat="1" ht="26.1" customHeight="1" x14ac:dyDescent="0.2">
      <c r="A10" s="483"/>
      <c r="B10" s="314" t="s">
        <v>442</v>
      </c>
      <c r="C10" s="324">
        <v>971.43</v>
      </c>
      <c r="D10" s="325">
        <f>134.64*1.8</f>
        <v>242.35199999999998</v>
      </c>
      <c r="E10" s="324">
        <f>9.45*2</f>
        <v>18.899999999999999</v>
      </c>
      <c r="F10" s="325">
        <f>(120*76.1*12)/1000</f>
        <v>109.584</v>
      </c>
      <c r="G10" s="326" t="s">
        <v>441</v>
      </c>
      <c r="H10" s="278"/>
      <c r="O10" s="332">
        <v>3</v>
      </c>
      <c r="P10" s="489" t="s">
        <v>439</v>
      </c>
      <c r="Q10" s="490"/>
      <c r="R10" s="491"/>
      <c r="S10" s="333">
        <v>9300</v>
      </c>
      <c r="T10" s="333">
        <v>2</v>
      </c>
      <c r="U10" s="334">
        <f>56*2</f>
        <v>112</v>
      </c>
      <c r="V10" s="335">
        <f>(S10*U10*T10/1000)</f>
        <v>2083.1999999999998</v>
      </c>
      <c r="W10" s="323">
        <f>+V10/1000</f>
        <v>2.0831999999999997</v>
      </c>
    </row>
    <row r="11" spans="1:23" s="318" customFormat="1" ht="26.1" customHeight="1" x14ac:dyDescent="0.2">
      <c r="A11" s="483"/>
      <c r="B11" s="314" t="s">
        <v>443</v>
      </c>
      <c r="C11" s="324">
        <v>971.7</v>
      </c>
      <c r="D11" s="325">
        <f>134.64*1.8</f>
        <v>242.35199999999998</v>
      </c>
      <c r="E11" s="324">
        <f>9.45*2</f>
        <v>18.899999999999999</v>
      </c>
      <c r="F11" s="325">
        <f>(120*76.1*12)/1000</f>
        <v>109.584</v>
      </c>
      <c r="G11" s="326" t="s">
        <v>441</v>
      </c>
      <c r="H11" s="278"/>
      <c r="O11" s="332">
        <v>4</v>
      </c>
      <c r="P11" s="489" t="s">
        <v>439</v>
      </c>
      <c r="Q11" s="490"/>
      <c r="R11" s="491"/>
      <c r="S11" s="333">
        <v>5000</v>
      </c>
      <c r="T11" s="333">
        <v>4</v>
      </c>
      <c r="U11" s="334">
        <f>56*2</f>
        <v>112</v>
      </c>
      <c r="V11" s="335">
        <f>(S11*U11*T11/1000)</f>
        <v>2240</v>
      </c>
      <c r="W11" s="323">
        <f>+V11/1000</f>
        <v>2.2400000000000002</v>
      </c>
    </row>
    <row r="12" spans="1:23" s="318" customFormat="1" ht="26.1" customHeight="1" thickBot="1" x14ac:dyDescent="0.25">
      <c r="A12" s="484"/>
      <c r="B12" s="314" t="s">
        <v>425</v>
      </c>
      <c r="C12" s="314"/>
      <c r="D12" s="314"/>
      <c r="E12" s="314"/>
      <c r="F12" s="315"/>
      <c r="G12" s="316"/>
      <c r="H12" s="278"/>
      <c r="O12" s="503" t="s">
        <v>444</v>
      </c>
      <c r="P12" s="504"/>
      <c r="Q12" s="504"/>
      <c r="R12" s="504"/>
      <c r="S12" s="504"/>
      <c r="T12" s="504"/>
      <c r="U12" s="505"/>
      <c r="V12" s="336">
        <f>SUM(V8:V11)</f>
        <v>9452.7999999999993</v>
      </c>
      <c r="W12" s="323">
        <f>+V12/1000</f>
        <v>9.4527999999999999</v>
      </c>
    </row>
    <row r="13" spans="1:23" s="318" customFormat="1" ht="26.1" customHeight="1" thickTop="1" x14ac:dyDescent="0.2">
      <c r="A13" s="482" t="s">
        <v>445</v>
      </c>
      <c r="B13" s="314" t="s">
        <v>423</v>
      </c>
      <c r="C13" s="314"/>
      <c r="D13" s="314"/>
      <c r="E13" s="314"/>
      <c r="F13" s="315"/>
      <c r="G13" s="316"/>
      <c r="H13" s="278"/>
      <c r="O13" s="323"/>
      <c r="P13" s="323"/>
      <c r="Q13" s="323"/>
      <c r="R13" s="323"/>
      <c r="S13" s="323"/>
      <c r="T13" s="323"/>
      <c r="U13" s="323"/>
      <c r="V13" s="323"/>
      <c r="W13" s="323"/>
    </row>
    <row r="14" spans="1:23" s="318" customFormat="1" ht="26.1" customHeight="1" thickBot="1" x14ac:dyDescent="0.25">
      <c r="A14" s="484"/>
      <c r="B14" s="314" t="s">
        <v>425</v>
      </c>
      <c r="C14" s="314"/>
      <c r="D14" s="314"/>
      <c r="E14" s="314"/>
      <c r="F14" s="315"/>
      <c r="G14" s="316"/>
      <c r="H14" s="278"/>
      <c r="O14" s="323"/>
      <c r="P14" s="323"/>
      <c r="Q14" s="323"/>
      <c r="R14" s="323"/>
      <c r="S14" s="323"/>
      <c r="T14" s="323"/>
      <c r="U14" s="323"/>
      <c r="V14" s="323"/>
      <c r="W14" s="323"/>
    </row>
    <row r="15" spans="1:23" s="318" customFormat="1" ht="26.1" customHeight="1" thickTop="1" x14ac:dyDescent="0.2">
      <c r="A15" s="482" t="s">
        <v>446</v>
      </c>
      <c r="B15" s="314" t="s">
        <v>423</v>
      </c>
      <c r="C15" s="314"/>
      <c r="D15" s="314"/>
      <c r="E15" s="314"/>
      <c r="F15" s="315"/>
      <c r="G15" s="316"/>
      <c r="H15" s="278"/>
      <c r="O15" s="492" t="s">
        <v>447</v>
      </c>
      <c r="P15" s="493"/>
      <c r="Q15" s="493"/>
      <c r="R15" s="493"/>
      <c r="S15" s="493"/>
      <c r="T15" s="493"/>
      <c r="U15" s="493"/>
      <c r="V15" s="494"/>
      <c r="W15" s="317"/>
    </row>
    <row r="16" spans="1:23" s="318" customFormat="1" ht="26.1" customHeight="1" x14ac:dyDescent="0.2">
      <c r="A16" s="483"/>
      <c r="B16" s="314" t="s">
        <v>433</v>
      </c>
      <c r="C16" s="314">
        <v>930.77</v>
      </c>
      <c r="D16" s="325">
        <f>134.64*1.8</f>
        <v>242.35199999999998</v>
      </c>
      <c r="E16" s="324">
        <f>9.45*2</f>
        <v>18.899999999999999</v>
      </c>
      <c r="F16" s="325">
        <f>(120*76.1*12)/1000</f>
        <v>109.584</v>
      </c>
      <c r="G16" s="326" t="s">
        <v>441</v>
      </c>
      <c r="H16" s="278"/>
      <c r="O16" s="508" t="s">
        <v>426</v>
      </c>
      <c r="P16" s="497" t="s">
        <v>427</v>
      </c>
      <c r="Q16" s="498"/>
      <c r="R16" s="319"/>
      <c r="S16" s="320" t="s">
        <v>428</v>
      </c>
      <c r="T16" s="509" t="s">
        <v>429</v>
      </c>
      <c r="U16" s="321" t="s">
        <v>430</v>
      </c>
      <c r="V16" s="322" t="s">
        <v>431</v>
      </c>
      <c r="W16" s="323"/>
    </row>
    <row r="17" spans="1:23" s="318" customFormat="1" ht="26.1" customHeight="1" x14ac:dyDescent="0.2">
      <c r="A17" s="484"/>
      <c r="B17" s="314" t="s">
        <v>425</v>
      </c>
      <c r="C17" s="314"/>
      <c r="D17" s="314"/>
      <c r="E17" s="314"/>
      <c r="F17" s="315"/>
      <c r="G17" s="316"/>
      <c r="H17" s="278"/>
      <c r="O17" s="496"/>
      <c r="P17" s="499"/>
      <c r="Q17" s="500"/>
      <c r="R17" s="327"/>
      <c r="S17" s="328" t="s">
        <v>435</v>
      </c>
      <c r="T17" s="502"/>
      <c r="U17" s="329" t="s">
        <v>436</v>
      </c>
      <c r="V17" s="330" t="s">
        <v>203</v>
      </c>
      <c r="W17" s="331" t="s">
        <v>25</v>
      </c>
    </row>
    <row r="18" spans="1:23" s="318" customFormat="1" ht="26.1" customHeight="1" x14ac:dyDescent="0.2">
      <c r="A18" s="482" t="s">
        <v>448</v>
      </c>
      <c r="B18" s="314" t="s">
        <v>433</v>
      </c>
      <c r="C18" s="325">
        <v>420.69</v>
      </c>
      <c r="D18" s="314"/>
      <c r="E18" s="314"/>
      <c r="F18" s="325">
        <f>(100*76.1*6)/1000</f>
        <v>45.659999999999989</v>
      </c>
      <c r="G18" s="326" t="s">
        <v>434</v>
      </c>
      <c r="H18" s="278"/>
      <c r="O18" s="332">
        <v>1</v>
      </c>
      <c r="P18" s="489" t="s">
        <v>439</v>
      </c>
      <c r="Q18" s="490"/>
      <c r="R18" s="491"/>
      <c r="S18" s="333">
        <v>9800</v>
      </c>
      <c r="T18" s="333">
        <v>2</v>
      </c>
      <c r="U18" s="334">
        <f>56*2</f>
        <v>112</v>
      </c>
      <c r="V18" s="335">
        <f>(S18*U18*T18/1000)</f>
        <v>2195.1999999999998</v>
      </c>
      <c r="W18" s="323">
        <f>+V18/1000</f>
        <v>2.1951999999999998</v>
      </c>
    </row>
    <row r="19" spans="1:23" s="318" customFormat="1" ht="26.1" customHeight="1" x14ac:dyDescent="0.2">
      <c r="A19" s="483"/>
      <c r="B19" s="314" t="s">
        <v>437</v>
      </c>
      <c r="C19" s="324">
        <v>1019.9</v>
      </c>
      <c r="D19" s="325">
        <f>134.64*1.8</f>
        <v>242.35199999999998</v>
      </c>
      <c r="E19" s="324">
        <f>9.45*2</f>
        <v>18.899999999999999</v>
      </c>
      <c r="F19" s="325">
        <f>(120*76.1*12)/1000</f>
        <v>109.584</v>
      </c>
      <c r="G19" s="326" t="s">
        <v>441</v>
      </c>
      <c r="H19" s="278"/>
      <c r="O19" s="332">
        <v>2</v>
      </c>
      <c r="P19" s="489" t="s">
        <v>439</v>
      </c>
      <c r="Q19" s="490"/>
      <c r="R19" s="491"/>
      <c r="S19" s="333">
        <v>14800</v>
      </c>
      <c r="T19" s="333">
        <v>2</v>
      </c>
      <c r="U19" s="334">
        <f>56*2</f>
        <v>112</v>
      </c>
      <c r="V19" s="335">
        <f>(S19*U19*T19/1000)</f>
        <v>3315.2</v>
      </c>
      <c r="W19" s="323">
        <f>+V19/1000</f>
        <v>3.3151999999999999</v>
      </c>
    </row>
    <row r="20" spans="1:23" s="318" customFormat="1" ht="26.1" customHeight="1" x14ac:dyDescent="0.2">
      <c r="A20" s="483"/>
      <c r="B20" s="314" t="s">
        <v>440</v>
      </c>
      <c r="C20" s="324">
        <v>1019.9</v>
      </c>
      <c r="D20" s="325">
        <f>134.64*1.8</f>
        <v>242.35199999999998</v>
      </c>
      <c r="E20" s="324">
        <f>9.45*2</f>
        <v>18.899999999999999</v>
      </c>
      <c r="F20" s="325">
        <f>(120*76.1*12)/1000</f>
        <v>109.584</v>
      </c>
      <c r="G20" s="326" t="s">
        <v>441</v>
      </c>
      <c r="H20" s="278"/>
      <c r="O20" s="332">
        <v>3</v>
      </c>
      <c r="P20" s="489" t="s">
        <v>439</v>
      </c>
      <c r="Q20" s="490"/>
      <c r="R20" s="491"/>
      <c r="S20" s="333">
        <v>9200</v>
      </c>
      <c r="T20" s="333">
        <v>2</v>
      </c>
      <c r="U20" s="334">
        <f>56*2</f>
        <v>112</v>
      </c>
      <c r="V20" s="335">
        <f>(S20*U20*T20/1000)</f>
        <v>2060.8000000000002</v>
      </c>
      <c r="W20" s="323">
        <f>+V20/1000</f>
        <v>2.0608</v>
      </c>
    </row>
    <row r="21" spans="1:23" s="318" customFormat="1" ht="26.1" customHeight="1" x14ac:dyDescent="0.2">
      <c r="A21" s="483"/>
      <c r="B21" s="314" t="s">
        <v>442</v>
      </c>
      <c r="C21" s="314">
        <v>498.57</v>
      </c>
      <c r="D21" s="325">
        <f>134.64*1</f>
        <v>134.63999999999999</v>
      </c>
      <c r="E21" s="314">
        <v>9.4499999999999993</v>
      </c>
      <c r="F21" s="325">
        <f>(120*76.1*9)/1000</f>
        <v>82.188000000000002</v>
      </c>
      <c r="G21" s="326" t="s">
        <v>438</v>
      </c>
      <c r="H21" s="278"/>
      <c r="O21" s="332">
        <v>4</v>
      </c>
      <c r="P21" s="489" t="s">
        <v>439</v>
      </c>
      <c r="Q21" s="490"/>
      <c r="R21" s="491"/>
      <c r="S21" s="333">
        <v>3100</v>
      </c>
      <c r="T21" s="333">
        <v>4</v>
      </c>
      <c r="U21" s="334">
        <f>56*2</f>
        <v>112</v>
      </c>
      <c r="V21" s="335">
        <f>(S21*U21*T21/1000)</f>
        <v>1388.8</v>
      </c>
      <c r="W21" s="323">
        <f>+V21/1000</f>
        <v>1.3888</v>
      </c>
    </row>
    <row r="22" spans="1:23" s="318" customFormat="1" ht="26.1" customHeight="1" thickBot="1" x14ac:dyDescent="0.25">
      <c r="A22" s="484"/>
      <c r="B22" s="314" t="s">
        <v>425</v>
      </c>
      <c r="C22" s="314"/>
      <c r="D22" s="314"/>
      <c r="E22" s="314"/>
      <c r="F22" s="315"/>
      <c r="G22" s="316"/>
      <c r="H22" s="278"/>
      <c r="O22" s="503" t="s">
        <v>444</v>
      </c>
      <c r="P22" s="504"/>
      <c r="Q22" s="504"/>
      <c r="R22" s="504"/>
      <c r="S22" s="504"/>
      <c r="T22" s="504"/>
      <c r="U22" s="505"/>
      <c r="V22" s="336">
        <f>SUM(V18:V21)</f>
        <v>8960</v>
      </c>
      <c r="W22" s="323">
        <f>+V22/1000</f>
        <v>8.9600000000000009</v>
      </c>
    </row>
    <row r="23" spans="1:23" s="318" customFormat="1" ht="26.1" customHeight="1" thickTop="1" x14ac:dyDescent="0.2">
      <c r="A23" s="482" t="s">
        <v>449</v>
      </c>
      <c r="B23" s="337" t="s">
        <v>423</v>
      </c>
      <c r="C23" s="337"/>
      <c r="D23" s="337"/>
      <c r="E23" s="337"/>
      <c r="F23" s="338"/>
      <c r="G23" s="339"/>
      <c r="H23" s="278"/>
    </row>
    <row r="24" spans="1:23" s="318" customFormat="1" ht="26.1" customHeight="1" x14ac:dyDescent="0.2">
      <c r="A24" s="483"/>
      <c r="B24" s="337" t="s">
        <v>433</v>
      </c>
      <c r="C24" s="340">
        <v>492</v>
      </c>
      <c r="D24" s="325">
        <f>150.92*1</f>
        <v>150.91999999999999</v>
      </c>
      <c r="E24" s="337">
        <v>8.9600000000000009</v>
      </c>
      <c r="F24" s="325">
        <f>(130*76.1*9)/1000</f>
        <v>89.037000000000006</v>
      </c>
      <c r="G24" s="326" t="s">
        <v>438</v>
      </c>
      <c r="H24" s="278"/>
    </row>
    <row r="25" spans="1:23" s="318" customFormat="1" ht="26.1" customHeight="1" x14ac:dyDescent="0.2">
      <c r="A25" s="483"/>
      <c r="B25" s="337" t="s">
        <v>437</v>
      </c>
      <c r="C25" s="340">
        <v>492</v>
      </c>
      <c r="D25" s="325">
        <f>150.92*1</f>
        <v>150.91999999999999</v>
      </c>
      <c r="E25" s="337">
        <v>8.9600000000000009</v>
      </c>
      <c r="F25" s="325">
        <f>(130*76.1*9)/1000</f>
        <v>89.037000000000006</v>
      </c>
      <c r="G25" s="326" t="s">
        <v>438</v>
      </c>
      <c r="H25" s="278"/>
    </row>
    <row r="26" spans="1:23" s="318" customFormat="1" ht="26.1" customHeight="1" x14ac:dyDescent="0.2">
      <c r="A26" s="484"/>
      <c r="B26" s="337" t="s">
        <v>425</v>
      </c>
      <c r="C26" s="337"/>
      <c r="D26" s="337"/>
      <c r="E26" s="337"/>
      <c r="F26" s="338"/>
      <c r="G26" s="339"/>
      <c r="H26" s="278"/>
    </row>
    <row r="27" spans="1:23" s="318" customFormat="1" ht="26.1" customHeight="1" thickBot="1" x14ac:dyDescent="0.25">
      <c r="A27" s="506" t="s">
        <v>450</v>
      </c>
      <c r="B27" s="507"/>
      <c r="C27" s="341">
        <f>+SUM(C5:C26)</f>
        <v>8877.9399999999987</v>
      </c>
      <c r="D27" s="341">
        <f>+SUM(D5:D26)</f>
        <v>2025.2319999999995</v>
      </c>
      <c r="E27" s="341">
        <f>+SUM(E5:E26)</f>
        <v>150.22000000000003</v>
      </c>
      <c r="F27" s="341">
        <f>+SUM(F5:F26)</f>
        <v>1091.2739999999999</v>
      </c>
      <c r="G27" s="342"/>
      <c r="O27" s="485"/>
      <c r="P27" s="485"/>
      <c r="Q27" s="485"/>
      <c r="R27" s="485"/>
      <c r="S27" s="485"/>
      <c r="T27" s="485"/>
      <c r="U27" s="485"/>
      <c r="V27" s="485"/>
    </row>
    <row r="28" spans="1:23" s="318" customFormat="1" ht="20.100000000000001" customHeight="1" thickTop="1" x14ac:dyDescent="0.2">
      <c r="A28" s="313"/>
      <c r="B28" s="313"/>
      <c r="C28" s="343"/>
      <c r="D28" s="343"/>
      <c r="E28" s="344"/>
      <c r="F28" s="313"/>
      <c r="G28" s="278"/>
      <c r="O28" s="486"/>
      <c r="P28" s="487"/>
      <c r="Q28" s="487"/>
      <c r="R28" s="347"/>
      <c r="S28" s="346"/>
      <c r="T28" s="486"/>
      <c r="U28" s="345"/>
      <c r="V28" s="345"/>
    </row>
    <row r="29" spans="1:23" s="318" customFormat="1" ht="20.100000000000001" customHeight="1" x14ac:dyDescent="0.2">
      <c r="A29"/>
      <c r="B29"/>
      <c r="C29" s="89"/>
      <c r="D29" s="89"/>
      <c r="E29" s="348"/>
      <c r="F29"/>
      <c r="G29" s="278"/>
      <c r="O29" s="486"/>
      <c r="P29" s="487"/>
      <c r="Q29" s="487"/>
      <c r="R29" s="347"/>
      <c r="S29" s="346"/>
      <c r="T29" s="486"/>
      <c r="U29" s="345"/>
      <c r="V29" s="345"/>
    </row>
    <row r="30" spans="1:23" s="318" customFormat="1" ht="20.100000000000001" customHeight="1" x14ac:dyDescent="0.2">
      <c r="A30"/>
      <c r="B30"/>
      <c r="D30" s="89"/>
      <c r="E30" s="348"/>
      <c r="F30"/>
      <c r="G30" s="278"/>
      <c r="O30" s="349"/>
      <c r="P30" s="480"/>
      <c r="Q30" s="480"/>
      <c r="R30" s="480"/>
      <c r="S30" s="349"/>
      <c r="T30" s="349"/>
      <c r="U30" s="350"/>
      <c r="V30" s="351"/>
    </row>
    <row r="31" spans="1:23" s="318" customFormat="1" ht="20.100000000000001" customHeight="1" x14ac:dyDescent="0.2">
      <c r="A31"/>
      <c r="B31"/>
      <c r="C31" s="89"/>
      <c r="D31" s="89"/>
      <c r="E31" s="348"/>
      <c r="F31"/>
      <c r="G31" s="278"/>
      <c r="O31" s="349"/>
      <c r="P31" s="480"/>
      <c r="Q31" s="480"/>
      <c r="R31" s="480"/>
      <c r="S31" s="349"/>
      <c r="T31" s="349"/>
      <c r="U31" s="350"/>
      <c r="V31" s="351"/>
    </row>
    <row r="32" spans="1:23" s="318" customFormat="1" ht="20.100000000000001" customHeight="1" x14ac:dyDescent="0.2">
      <c r="A32"/>
      <c r="B32"/>
      <c r="C32" s="89"/>
      <c r="D32" s="89"/>
      <c r="E32" s="348"/>
      <c r="F32"/>
      <c r="G32" s="278"/>
      <c r="O32" s="349"/>
      <c r="P32" s="480"/>
      <c r="Q32" s="480"/>
      <c r="R32" s="480"/>
      <c r="S32" s="349"/>
      <c r="T32" s="349"/>
      <c r="U32" s="350"/>
      <c r="V32" s="351"/>
    </row>
    <row r="33" spans="1:22" s="318" customFormat="1" ht="20.100000000000001" customHeight="1" x14ac:dyDescent="0.2">
      <c r="A33"/>
      <c r="B33"/>
      <c r="C33" s="89"/>
      <c r="D33" s="348"/>
      <c r="E33"/>
      <c r="F33" s="278"/>
      <c r="O33" s="349"/>
      <c r="P33" s="480"/>
      <c r="Q33" s="480"/>
      <c r="R33" s="480"/>
      <c r="S33" s="349"/>
      <c r="T33" s="349"/>
      <c r="U33" s="350"/>
      <c r="V33" s="351"/>
    </row>
    <row r="34" spans="1:22" s="318" customFormat="1" ht="20.100000000000001" customHeight="1" x14ac:dyDescent="0.2">
      <c r="A34"/>
      <c r="B34"/>
      <c r="C34" s="89"/>
      <c r="D34" s="89"/>
      <c r="E34" s="348"/>
      <c r="F34"/>
      <c r="G34" s="278"/>
      <c r="O34" s="349"/>
      <c r="P34" s="480"/>
      <c r="Q34" s="480"/>
      <c r="R34" s="480"/>
      <c r="S34" s="349"/>
      <c r="T34" s="349"/>
      <c r="U34" s="350"/>
      <c r="V34" s="351"/>
    </row>
    <row r="35" spans="1:22" s="318" customFormat="1" ht="20.100000000000001" customHeight="1" x14ac:dyDescent="0.2">
      <c r="A35"/>
      <c r="B35"/>
      <c r="C35" s="89"/>
      <c r="D35" s="89"/>
      <c r="E35" s="348"/>
      <c r="F35"/>
      <c r="G35" s="278"/>
      <c r="O35" s="478"/>
      <c r="P35" s="478"/>
      <c r="Q35" s="478"/>
      <c r="R35" s="478"/>
      <c r="S35" s="478"/>
      <c r="T35" s="478"/>
      <c r="U35" s="478"/>
      <c r="V35" s="352"/>
    </row>
    <row r="36" spans="1:22" s="318" customFormat="1" ht="20.100000000000001" customHeight="1" x14ac:dyDescent="0.2">
      <c r="A36"/>
      <c r="B36"/>
      <c r="C36" s="89"/>
      <c r="D36" s="89"/>
      <c r="E36" s="348"/>
      <c r="F36"/>
      <c r="G36" s="278"/>
      <c r="O36"/>
      <c r="P36"/>
      <c r="Q36"/>
      <c r="R36"/>
      <c r="S36"/>
      <c r="T36"/>
      <c r="U36"/>
      <c r="V36"/>
    </row>
    <row r="37" spans="1:22" s="318" customFormat="1" ht="20.100000000000001" customHeight="1" x14ac:dyDescent="0.2">
      <c r="A37"/>
      <c r="B37"/>
      <c r="C37" s="89"/>
      <c r="D37" s="89"/>
      <c r="E37" s="348"/>
      <c r="F37"/>
      <c r="G37" s="278"/>
      <c r="O37"/>
      <c r="P37"/>
      <c r="Q37"/>
      <c r="R37"/>
      <c r="S37"/>
      <c r="T37"/>
      <c r="U37"/>
      <c r="V37"/>
    </row>
    <row r="38" spans="1:22" x14ac:dyDescent="0.2">
      <c r="G38" s="278"/>
    </row>
    <row r="39" spans="1:22" ht="18" x14ac:dyDescent="0.2">
      <c r="D39" s="479"/>
      <c r="E39" s="479"/>
      <c r="F39" s="479"/>
      <c r="G39" s="479"/>
      <c r="H39" s="479"/>
      <c r="I39" s="479"/>
      <c r="J39" s="479"/>
      <c r="K39" s="479"/>
    </row>
  </sheetData>
  <mergeCells count="39">
    <mergeCell ref="P19:R19"/>
    <mergeCell ref="P20:R20"/>
    <mergeCell ref="O12:U12"/>
    <mergeCell ref="A13:A14"/>
    <mergeCell ref="A2:G2"/>
    <mergeCell ref="A23:A26"/>
    <mergeCell ref="A27:B27"/>
    <mergeCell ref="O15:V15"/>
    <mergeCell ref="O16:O17"/>
    <mergeCell ref="P16:Q17"/>
    <mergeCell ref="T16:T17"/>
    <mergeCell ref="P18:R18"/>
    <mergeCell ref="O5:V5"/>
    <mergeCell ref="A18:A22"/>
    <mergeCell ref="O6:O7"/>
    <mergeCell ref="P6:Q7"/>
    <mergeCell ref="T6:T7"/>
    <mergeCell ref="P8:R8"/>
    <mergeCell ref="P9:R9"/>
    <mergeCell ref="O22:U22"/>
    <mergeCell ref="P10:R10"/>
    <mergeCell ref="A5:A6"/>
    <mergeCell ref="A1:G1"/>
    <mergeCell ref="A7:A12"/>
    <mergeCell ref="O27:V27"/>
    <mergeCell ref="O28:O29"/>
    <mergeCell ref="P28:Q29"/>
    <mergeCell ref="T28:T29"/>
    <mergeCell ref="A15:A17"/>
    <mergeCell ref="A3:F3"/>
    <mergeCell ref="P21:R21"/>
    <mergeCell ref="P11:R11"/>
    <mergeCell ref="O35:U35"/>
    <mergeCell ref="D39:K39"/>
    <mergeCell ref="P33:R33"/>
    <mergeCell ref="P34:R34"/>
    <mergeCell ref="P30:R30"/>
    <mergeCell ref="P31:R31"/>
    <mergeCell ref="P32:R32"/>
  </mergeCells>
  <phoneticPr fontId="47" type="noConversion"/>
  <pageMargins left="1.47" right="0.39370078740157499" top="0.74803149606299202" bottom="0.74803149606299202" header="0.31496062992126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1.BD-(P2-No34)</vt:lpstr>
      <vt:lpstr>2.CVT+KC</vt:lpstr>
      <vt:lpstr>Sheet1</vt:lpstr>
      <vt:lpstr>NL khung chong</vt:lpstr>
      <vt:lpstr>No.29-No.34</vt:lpstr>
      <vt:lpstr>'2.CVT+KC'!CĐ2</vt:lpstr>
      <vt:lpstr>'2.CVT+KC'!CĐ4</vt:lpstr>
      <vt:lpstr>'1.BD-(P2-No34)'!Print_Area</vt:lpstr>
      <vt:lpstr>'2.CVT+KC'!Print_Area</vt:lpstr>
      <vt:lpstr>'No.29-No.34'!Print_Area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Tính toán bịt đáy</dc:title>
  <dc:creator>Xaydungnenmong.com</dc:creator>
  <cp:lastModifiedBy>Hoctoan123.com</cp:lastModifiedBy>
  <cp:lastPrinted>2012-08-30T08:55:13Z</cp:lastPrinted>
  <dcterms:created xsi:type="dcterms:W3CDTF">2002-08-16T04:29:26Z</dcterms:created>
  <dcterms:modified xsi:type="dcterms:W3CDTF">2021-12-21T04:31:05Z</dcterms:modified>
</cp:coreProperties>
</file>